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200" windowHeight="14020" tabRatio="500"/>
  </bookViews>
  <sheets>
    <sheet name="Dados" sheetId="5" r:id="rId1"/>
    <sheet name="Fluxo" sheetId="2" r:id="rId2"/>
    <sheet name="Aux" sheetId="1" state="hidden" r:id="rId3"/>
    <sheet name="Sheet1" sheetId="8" state="hidden" r:id="rId4"/>
    <sheet name="Sheet2" sheetId="9" state="hidden" r:id="rId5"/>
    <sheet name="Cálculo de Áreas" sheetId="6" r:id="rId6"/>
    <sheet name="Auxiliar" sheetId="7" r:id="rId7"/>
  </sheets>
  <definedNames>
    <definedName name="A_Terr">'Cálculo de Áreas'!$D$5</definedName>
    <definedName name="adm">Dados!$E$59</definedName>
    <definedName name="anu">Dados!$F$69</definedName>
    <definedName name="apm">Dados!$E$27</definedName>
    <definedName name="atc">Dados!$E$28</definedName>
    <definedName name="atp">Dados!$E$26</definedName>
    <definedName name="cha">Dados!$F$70</definedName>
    <definedName name="cjfo">Dados!$E$116</definedName>
    <definedName name="cmt">Dados!$J$45</definedName>
    <definedName name="cop">Dados!$E$15</definedName>
    <definedName name="copaa">Dados!$G$15</definedName>
    <definedName name="corr">Dados!$E$57</definedName>
    <definedName name="cto">Dados!$E$85</definedName>
    <definedName name="delta">Aux!$A$29</definedName>
    <definedName name="dji">Dados!$F$105</definedName>
    <definedName name="dtt">Dados!$E$41</definedName>
    <definedName name="igpm">Dados!$E$12</definedName>
    <definedName name="igpmaa">Dados!$G$12</definedName>
    <definedName name="imp">Dados!$E$58</definedName>
    <definedName name="incc">Dados!$E$13</definedName>
    <definedName name="inccaa">Dados!$G$13</definedName>
    <definedName name="inv">Fluxo!$BD$11</definedName>
    <definedName name="ip">Fluxo!$BG$13</definedName>
    <definedName name="jfb">Dados!$F$73</definedName>
    <definedName name="jfd">Dados!$F$74</definedName>
    <definedName name="jfo">Dados!$E$110</definedName>
    <definedName name="mbase">Dados!$E$9</definedName>
    <definedName name="mbfo">Dados!$J$117</definedName>
    <definedName name="mco">Dados!$J$81</definedName>
    <definedName name="mdji">Dados!$L$105</definedName>
    <definedName name="mdo">Dados!$F$67</definedName>
    <definedName name="mec">Dados!$J$82</definedName>
    <definedName name="mesbase">Aux!#REF!</definedName>
    <definedName name="mesinicio">Aux!#REF!</definedName>
    <definedName name="mesinicioterr">Aux!#REF!</definedName>
    <definedName name="meslanc">Aux!#REF!</definedName>
    <definedName name="mio">Dados!$J$80</definedName>
    <definedName name="mlan">Dados!$J$60</definedName>
    <definedName name="mmo">Fluxo!$AR$11</definedName>
    <definedName name="mmv">Fluxo!$AS$11</definedName>
    <definedName name="mpdt">Dados!$J$42</definedName>
    <definedName name="mpfo">Dados!$J$119</definedName>
    <definedName name="mplfo">Dados!$J$118</definedName>
    <definedName name="mpo">Dados!$J$38</definedName>
    <definedName name="mppe">Dados!$L$106</definedName>
    <definedName name="mppm">Dados!$L$107</definedName>
    <definedName name="mpt">Dados!$J$46</definedName>
    <definedName name="NANUAIS">Aux!#REF!</definedName>
    <definedName name="npa">Dados!$I$69</definedName>
    <definedName name="npc">Dados!$I$70</definedName>
    <definedName name="npdji">Dados!$J$105</definedName>
    <definedName name="npfb">Dados!$I$73</definedName>
    <definedName name="npfd">Dados!$I$74</definedName>
    <definedName name="npm">Dados!$I$67</definedName>
    <definedName name="nppc">Aux!#REF!</definedName>
    <definedName name="npppe">Dados!$J$106</definedName>
    <definedName name="npppm">Dados!$J$107</definedName>
    <definedName name="npse">Dados!$I$68</definedName>
    <definedName name="npsi">Dados!$I$66</definedName>
    <definedName name="npt">Dados!$E$45</definedName>
    <definedName name="ntu">Dados!$E$25</definedName>
    <definedName name="ntudv">Dados!$H$91</definedName>
    <definedName name="ntun">Aux!#REF!</definedName>
    <definedName name="ntup">Dados!$E$36</definedName>
    <definedName name="nufd">Dados!$H$123</definedName>
    <definedName name="nur">Aux!#REF!</definedName>
    <definedName name="nurb">Dados!$H$122</definedName>
    <definedName name="Outorga">'Cálculo de Áreas'!#REF!</definedName>
    <definedName name="padm">Dados!$F$59</definedName>
    <definedName name="partfin">Aux!#REF!</definedName>
    <definedName name="payback">Fluxo!$BC$11</definedName>
    <definedName name="pcorr">Dados!$F$57</definedName>
    <definedName name="pimp">Dados!$F$58</definedName>
    <definedName name="pmo">Dados!$E$114</definedName>
    <definedName name="pmtfb">Dados!$G$73</definedName>
    <definedName name="pmtfd">Dados!$G$74</definedName>
    <definedName name="pmv">Dados!$E$115</definedName>
    <definedName name="pos">Dados!$F$72</definedName>
    <definedName name="ppc">Aux!#REF!</definedName>
    <definedName name="ppe">Dados!$F$106</definedName>
    <definedName name="ppm">Dados!$F$107</definedName>
    <definedName name="prazo">Dados!$E$81</definedName>
    <definedName name="_xlnm.Print_Area" localSheetId="0">Dados!$C$1:$J$171</definedName>
    <definedName name="_xlnm.Print_Area" localSheetId="1">Fluxo!$K$13:$BF$500</definedName>
    <definedName name="_xlnm.Print_Titles" localSheetId="1">Fluxo!$B:$E,Fluxo!$4:$12</definedName>
    <definedName name="retornos">Fluxo!$BF$11</definedName>
    <definedName name="sem">Dados!$F$68</definedName>
    <definedName name="sinal">Dados!$F$66</definedName>
    <definedName name="tabpat">Aux!$B$33:$F$37</definedName>
    <definedName name="tabvv">Aux!$B$41:$E$49</definedName>
    <definedName name="tcc">Fluxo!$H$11</definedName>
    <definedName name="tcfo">Dados!$E$111</definedName>
    <definedName name="teo">Dados!$E$113</definedName>
    <definedName name="tiraa">Fluxo!$BG$3</definedName>
    <definedName name="tiram">Fluxo!$BF$2</definedName>
    <definedName name="tirraa">Fluxo!$BG$5</definedName>
    <definedName name="tirram">Fluxo!$BF$3</definedName>
    <definedName name="tjfo">Fluxo!$AY$11</definedName>
    <definedName name="tma">Dados!$E$16</definedName>
    <definedName name="tmaaa">Dados!$G$16</definedName>
    <definedName name="tr">Dados!$E$14</definedName>
    <definedName name="traa">Dados!$G$14</definedName>
    <definedName name="tsc">Fluxo!$G$11</definedName>
    <definedName name="uval">Dados!$F$96</definedName>
    <definedName name="uvao">Dados!$F$100</definedName>
    <definedName name="uvl">Dados!$F$95</definedName>
    <definedName name="uvpt">Dados!$F$97</definedName>
    <definedName name="uvst">Dados!$F$98</definedName>
    <definedName name="uvtt">Dados!$F$99</definedName>
    <definedName name="vanuais">Aux!#REF!</definedName>
    <definedName name="vfo">Dados!$E$112</definedName>
    <definedName name="vgv">Dados!$E$55</definedName>
    <definedName name="vld">Fluxo!$AV$11</definedName>
    <definedName name="vmens">Aux!#REF!</definedName>
    <definedName name="voo">Dados!$E$37</definedName>
    <definedName name="vpld">Fluxo!$T$10</definedName>
    <definedName name="vpli">Fluxo!$BD$10</definedName>
    <definedName name="vplr">Fluxo!$BF$10</definedName>
    <definedName name="vplv">Fluxo!$AN$10</definedName>
    <definedName name="vrfo">Dados!$E$124</definedName>
    <definedName name="vst">Dados!$E$44</definedName>
    <definedName name="vtd">Dados!$E$39</definedName>
    <definedName name="vtpm">Dados!$E$67</definedName>
    <definedName name="vtt">Dados!$E$40</definedName>
    <definedName name="vvm">Dados!$E$56</definedName>
    <definedName name="vvu">Aux!#REF!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3" i="5" l="1"/>
  <c r="D8" i="6"/>
  <c r="D17" i="6"/>
  <c r="D18" i="6"/>
  <c r="D19" i="6"/>
  <c r="D16" i="6"/>
  <c r="E26" i="5"/>
  <c r="E85" i="5"/>
  <c r="E31" i="5"/>
  <c r="D27" i="6"/>
  <c r="D28" i="6"/>
  <c r="D30" i="6"/>
  <c r="D9" i="6"/>
  <c r="E9" i="5"/>
  <c r="E39" i="6"/>
  <c r="D39" i="6"/>
  <c r="D31" i="6"/>
  <c r="D33" i="6"/>
  <c r="D20" i="6"/>
  <c r="E38" i="6"/>
  <c r="D38" i="6"/>
  <c r="F38" i="6"/>
  <c r="F39" i="6"/>
  <c r="D29" i="6"/>
  <c r="D37" i="6"/>
  <c r="F37" i="6"/>
  <c r="D40" i="6"/>
  <c r="F40" i="6"/>
  <c r="F42" i="6"/>
  <c r="E28" i="5"/>
  <c r="J80" i="5"/>
  <c r="J81" i="5"/>
  <c r="AK13" i="2"/>
  <c r="AH13" i="2"/>
  <c r="AG24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D25" i="2"/>
  <c r="AF25" i="2"/>
  <c r="AG25" i="2"/>
  <c r="C26" i="2"/>
  <c r="D26" i="2"/>
  <c r="AF26" i="2"/>
  <c r="AG26" i="2"/>
  <c r="C27" i="2"/>
  <c r="D27" i="2"/>
  <c r="AF27" i="2"/>
  <c r="AG27" i="2"/>
  <c r="C28" i="2"/>
  <c r="D28" i="2"/>
  <c r="AF28" i="2"/>
  <c r="AG28" i="2"/>
  <c r="C29" i="2"/>
  <c r="D29" i="2"/>
  <c r="AF29" i="2"/>
  <c r="AG29" i="2"/>
  <c r="C30" i="2"/>
  <c r="D30" i="2"/>
  <c r="AF30" i="2"/>
  <c r="AG30" i="2"/>
  <c r="C31" i="2"/>
  <c r="D31" i="2"/>
  <c r="AF31" i="2"/>
  <c r="AG31" i="2"/>
  <c r="C32" i="2"/>
  <c r="D32" i="2"/>
  <c r="AF32" i="2"/>
  <c r="AG32" i="2"/>
  <c r="C33" i="2"/>
  <c r="D33" i="2"/>
  <c r="AF33" i="2"/>
  <c r="AG33" i="2"/>
  <c r="C34" i="2"/>
  <c r="D34" i="2"/>
  <c r="AF34" i="2"/>
  <c r="AG34" i="2"/>
  <c r="C35" i="2"/>
  <c r="D35" i="2"/>
  <c r="AF35" i="2"/>
  <c r="AG35" i="2"/>
  <c r="C36" i="2"/>
  <c r="D36" i="2"/>
  <c r="AF36" i="2"/>
  <c r="AG36" i="2"/>
  <c r="C37" i="2"/>
  <c r="D37" i="2"/>
  <c r="AF37" i="2"/>
  <c r="AG37" i="2"/>
  <c r="C38" i="2"/>
  <c r="D38" i="2"/>
  <c r="AF38" i="2"/>
  <c r="AG38" i="2"/>
  <c r="C39" i="2"/>
  <c r="D39" i="2"/>
  <c r="AF39" i="2"/>
  <c r="AG39" i="2"/>
  <c r="C40" i="2"/>
  <c r="D40" i="2"/>
  <c r="AF40" i="2"/>
  <c r="AG40" i="2"/>
  <c r="C41" i="2"/>
  <c r="D41" i="2"/>
  <c r="AF41" i="2"/>
  <c r="AG41" i="2"/>
  <c r="C42" i="2"/>
  <c r="D42" i="2"/>
  <c r="AF42" i="2"/>
  <c r="AG42" i="2"/>
  <c r="C43" i="2"/>
  <c r="D43" i="2"/>
  <c r="AF43" i="2"/>
  <c r="AG43" i="2"/>
  <c r="C44" i="2"/>
  <c r="D44" i="2"/>
  <c r="AF44" i="2"/>
  <c r="AG44" i="2"/>
  <c r="C45" i="2"/>
  <c r="D45" i="2"/>
  <c r="AF45" i="2"/>
  <c r="AG45" i="2"/>
  <c r="C46" i="2"/>
  <c r="D46" i="2"/>
  <c r="AF46" i="2"/>
  <c r="AG46" i="2"/>
  <c r="C47" i="2"/>
  <c r="D47" i="2"/>
  <c r="AF47" i="2"/>
  <c r="AG47" i="2"/>
  <c r="C48" i="2"/>
  <c r="D48" i="2"/>
  <c r="AF48" i="2"/>
  <c r="AG48" i="2"/>
  <c r="C49" i="2"/>
  <c r="D49" i="2"/>
  <c r="AF49" i="2"/>
  <c r="AG49" i="2"/>
  <c r="C50" i="2"/>
  <c r="D50" i="2"/>
  <c r="AF50" i="2"/>
  <c r="AG50" i="2"/>
  <c r="C51" i="2"/>
  <c r="D51" i="2"/>
  <c r="AF51" i="2"/>
  <c r="AG51" i="2"/>
  <c r="I68" i="5"/>
  <c r="E50" i="5"/>
  <c r="E52" i="5"/>
  <c r="E54" i="5"/>
  <c r="E55" i="5"/>
  <c r="E25" i="5"/>
  <c r="E56" i="5"/>
  <c r="B42" i="1"/>
  <c r="C42" i="1"/>
  <c r="B43" i="1"/>
  <c r="D43" i="1"/>
  <c r="C43" i="1"/>
  <c r="B44" i="1"/>
  <c r="D44" i="1"/>
  <c r="C44" i="1"/>
  <c r="B45" i="1"/>
  <c r="U13" i="2"/>
  <c r="Y13" i="2"/>
  <c r="Z13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AI42" i="2"/>
  <c r="AJ42" i="2"/>
  <c r="AI43" i="2"/>
  <c r="AJ43" i="2"/>
  <c r="AI44" i="2"/>
  <c r="AJ44" i="2"/>
  <c r="AI45" i="2"/>
  <c r="AJ45" i="2"/>
  <c r="AI46" i="2"/>
  <c r="AJ46" i="2"/>
  <c r="AI47" i="2"/>
  <c r="AJ47" i="2"/>
  <c r="AI48" i="2"/>
  <c r="AJ48" i="2"/>
  <c r="AI49" i="2"/>
  <c r="AJ49" i="2"/>
  <c r="AI50" i="2"/>
  <c r="AJ50" i="2"/>
  <c r="AI51" i="2"/>
  <c r="AJ51" i="2"/>
  <c r="I69" i="5"/>
  <c r="AA13" i="2"/>
  <c r="AB13" i="2"/>
  <c r="X13" i="2"/>
  <c r="W13" i="2"/>
  <c r="J82" i="5"/>
  <c r="AL13" i="2"/>
  <c r="AD13" i="2"/>
  <c r="I67" i="5"/>
  <c r="AC13" i="2"/>
  <c r="AE13" i="2"/>
  <c r="J119" i="5"/>
  <c r="AM13" i="2"/>
  <c r="AN13" i="2"/>
  <c r="L87" i="5"/>
  <c r="O87" i="5"/>
  <c r="M87" i="5"/>
  <c r="L88" i="5"/>
  <c r="N13" i="2"/>
  <c r="P13" i="2"/>
  <c r="Q13" i="2"/>
  <c r="G13" i="2"/>
  <c r="J42" i="5"/>
  <c r="J13" i="2"/>
  <c r="J38" i="5"/>
  <c r="F13" i="2"/>
  <c r="I13" i="2"/>
  <c r="S13" i="2"/>
  <c r="L107" i="5"/>
  <c r="M13" i="2"/>
  <c r="L106" i="5"/>
  <c r="L13" i="2"/>
  <c r="L105" i="5"/>
  <c r="K13" i="2"/>
  <c r="R13" i="2"/>
  <c r="T13" i="2"/>
  <c r="AO13" i="2"/>
  <c r="H91" i="5"/>
  <c r="AS13" i="2"/>
  <c r="AS14" i="2"/>
  <c r="U14" i="2"/>
  <c r="AS15" i="2"/>
  <c r="U15" i="2"/>
  <c r="AS16" i="2"/>
  <c r="U16" i="2"/>
  <c r="AS17" i="2"/>
  <c r="U17" i="2"/>
  <c r="AS18" i="2"/>
  <c r="U18" i="2"/>
  <c r="AS19" i="2"/>
  <c r="E42" i="1"/>
  <c r="U19" i="2"/>
  <c r="E43" i="1"/>
  <c r="U20" i="2"/>
  <c r="U21" i="2"/>
  <c r="U22" i="2"/>
  <c r="U23" i="2"/>
  <c r="U24" i="2"/>
  <c r="U25" i="2"/>
  <c r="U26" i="2"/>
  <c r="U27" i="2"/>
  <c r="E44" i="1"/>
  <c r="U28" i="2"/>
  <c r="U29" i="2"/>
  <c r="U30" i="2"/>
  <c r="U31" i="2"/>
  <c r="U32" i="2"/>
  <c r="U33" i="2"/>
  <c r="U34" i="2"/>
  <c r="U35" i="2"/>
  <c r="D45" i="1"/>
  <c r="C45" i="1"/>
  <c r="B46" i="1"/>
  <c r="E45" i="1"/>
  <c r="U36" i="2"/>
  <c r="D46" i="1"/>
  <c r="C46" i="1"/>
  <c r="B47" i="1"/>
  <c r="U37" i="2"/>
  <c r="U38" i="2"/>
  <c r="U39" i="2"/>
  <c r="U40" i="2"/>
  <c r="U41" i="2"/>
  <c r="U42" i="2"/>
  <c r="U43" i="2"/>
  <c r="E46" i="1"/>
  <c r="U44" i="2"/>
  <c r="U45" i="2"/>
  <c r="U46" i="2"/>
  <c r="U47" i="2"/>
  <c r="U48" i="2"/>
  <c r="U49" i="2"/>
  <c r="U50" i="2"/>
  <c r="U51" i="2"/>
  <c r="G95" i="5"/>
  <c r="G96" i="5"/>
  <c r="G99" i="5"/>
  <c r="G97" i="5"/>
  <c r="G98" i="5"/>
  <c r="G100" i="5"/>
  <c r="F100" i="5"/>
  <c r="E47" i="1"/>
  <c r="D47" i="1"/>
  <c r="C47" i="1"/>
  <c r="B48" i="1"/>
  <c r="U52" i="2"/>
  <c r="C48" i="1"/>
  <c r="B49" i="1"/>
  <c r="U53" i="2"/>
  <c r="U54" i="2"/>
  <c r="U55" i="2"/>
  <c r="U56" i="2"/>
  <c r="U57" i="2"/>
  <c r="U58" i="2"/>
  <c r="U59" i="2"/>
  <c r="I95" i="5"/>
  <c r="I96" i="5"/>
  <c r="I97" i="5"/>
  <c r="I98" i="5"/>
  <c r="I99" i="5"/>
  <c r="E48" i="1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2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1" i="2"/>
  <c r="AS192" i="2"/>
  <c r="AS193" i="2"/>
  <c r="AS194" i="2"/>
  <c r="AS195" i="2"/>
  <c r="AS196" i="2"/>
  <c r="AS197" i="2"/>
  <c r="AS198" i="2"/>
  <c r="AS199" i="2"/>
  <c r="AS200" i="2"/>
  <c r="AS201" i="2"/>
  <c r="AS202" i="2"/>
  <c r="AS203" i="2"/>
  <c r="AS204" i="2"/>
  <c r="AS205" i="2"/>
  <c r="AS206" i="2"/>
  <c r="AS207" i="2"/>
  <c r="AS208" i="2"/>
  <c r="AS209" i="2"/>
  <c r="AS210" i="2"/>
  <c r="AS211" i="2"/>
  <c r="AS212" i="2"/>
  <c r="AS213" i="2"/>
  <c r="AS214" i="2"/>
  <c r="AS215" i="2"/>
  <c r="AS216" i="2"/>
  <c r="AS217" i="2"/>
  <c r="AS218" i="2"/>
  <c r="AS219" i="2"/>
  <c r="AS220" i="2"/>
  <c r="AS221" i="2"/>
  <c r="AS222" i="2"/>
  <c r="AS223" i="2"/>
  <c r="AS224" i="2"/>
  <c r="AS225" i="2"/>
  <c r="AS226" i="2"/>
  <c r="AS227" i="2"/>
  <c r="AS228" i="2"/>
  <c r="AS229" i="2"/>
  <c r="AS230" i="2"/>
  <c r="AS231" i="2"/>
  <c r="AS232" i="2"/>
  <c r="AS233" i="2"/>
  <c r="AS234" i="2"/>
  <c r="AS235" i="2"/>
  <c r="AS236" i="2"/>
  <c r="AS237" i="2"/>
  <c r="AS238" i="2"/>
  <c r="AS239" i="2"/>
  <c r="AS240" i="2"/>
  <c r="AS241" i="2"/>
  <c r="AS242" i="2"/>
  <c r="AS243" i="2"/>
  <c r="AS244" i="2"/>
  <c r="AS245" i="2"/>
  <c r="AS246" i="2"/>
  <c r="AS247" i="2"/>
  <c r="AS248" i="2"/>
  <c r="AS249" i="2"/>
  <c r="AS250" i="2"/>
  <c r="AS251" i="2"/>
  <c r="AS252" i="2"/>
  <c r="AS253" i="2"/>
  <c r="AS254" i="2"/>
  <c r="AS255" i="2"/>
  <c r="AS256" i="2"/>
  <c r="AS257" i="2"/>
  <c r="AS258" i="2"/>
  <c r="AS259" i="2"/>
  <c r="AS260" i="2"/>
  <c r="AS261" i="2"/>
  <c r="AS262" i="2"/>
  <c r="AS263" i="2"/>
  <c r="AS264" i="2"/>
  <c r="AS265" i="2"/>
  <c r="AS266" i="2"/>
  <c r="AS267" i="2"/>
  <c r="AS268" i="2"/>
  <c r="AS269" i="2"/>
  <c r="AS270" i="2"/>
  <c r="AS271" i="2"/>
  <c r="AS272" i="2"/>
  <c r="AS273" i="2"/>
  <c r="AS274" i="2"/>
  <c r="AS275" i="2"/>
  <c r="AS276" i="2"/>
  <c r="AS277" i="2"/>
  <c r="AS278" i="2"/>
  <c r="AS279" i="2"/>
  <c r="AS280" i="2"/>
  <c r="AS281" i="2"/>
  <c r="AS282" i="2"/>
  <c r="AS283" i="2"/>
  <c r="AS284" i="2"/>
  <c r="AS285" i="2"/>
  <c r="AS286" i="2"/>
  <c r="AS287" i="2"/>
  <c r="AS288" i="2"/>
  <c r="AS289" i="2"/>
  <c r="AS290" i="2"/>
  <c r="AS291" i="2"/>
  <c r="AS292" i="2"/>
  <c r="AS293" i="2"/>
  <c r="AS294" i="2"/>
  <c r="AS295" i="2"/>
  <c r="AS296" i="2"/>
  <c r="AS297" i="2"/>
  <c r="AS298" i="2"/>
  <c r="AS299" i="2"/>
  <c r="AS300" i="2"/>
  <c r="AS301" i="2"/>
  <c r="AS302" i="2"/>
  <c r="AS303" i="2"/>
  <c r="AS304" i="2"/>
  <c r="AS305" i="2"/>
  <c r="AS306" i="2"/>
  <c r="AS307" i="2"/>
  <c r="AS308" i="2"/>
  <c r="AS309" i="2"/>
  <c r="AS310" i="2"/>
  <c r="AS311" i="2"/>
  <c r="AS312" i="2"/>
  <c r="AS313" i="2"/>
  <c r="AS314" i="2"/>
  <c r="AS315" i="2"/>
  <c r="AS316" i="2"/>
  <c r="AS317" i="2"/>
  <c r="AS318" i="2"/>
  <c r="AS319" i="2"/>
  <c r="AS320" i="2"/>
  <c r="AS321" i="2"/>
  <c r="AS322" i="2"/>
  <c r="AS323" i="2"/>
  <c r="AS324" i="2"/>
  <c r="AS325" i="2"/>
  <c r="AS326" i="2"/>
  <c r="AS327" i="2"/>
  <c r="AS328" i="2"/>
  <c r="AS329" i="2"/>
  <c r="AS330" i="2"/>
  <c r="AS331" i="2"/>
  <c r="AS332" i="2"/>
  <c r="AS333" i="2"/>
  <c r="AS334" i="2"/>
  <c r="AS335" i="2"/>
  <c r="AS336" i="2"/>
  <c r="AS337" i="2"/>
  <c r="AS338" i="2"/>
  <c r="AS339" i="2"/>
  <c r="AS340" i="2"/>
  <c r="AS341" i="2"/>
  <c r="AS342" i="2"/>
  <c r="AS343" i="2"/>
  <c r="AS344" i="2"/>
  <c r="AS345" i="2"/>
  <c r="AS346" i="2"/>
  <c r="AS347" i="2"/>
  <c r="AS348" i="2"/>
  <c r="AS349" i="2"/>
  <c r="AS350" i="2"/>
  <c r="AS351" i="2"/>
  <c r="AS352" i="2"/>
  <c r="AS353" i="2"/>
  <c r="AS354" i="2"/>
  <c r="AS355" i="2"/>
  <c r="AS356" i="2"/>
  <c r="AS357" i="2"/>
  <c r="AS358" i="2"/>
  <c r="AS359" i="2"/>
  <c r="AS360" i="2"/>
  <c r="AS361" i="2"/>
  <c r="AS362" i="2"/>
  <c r="AS363" i="2"/>
  <c r="AS364" i="2"/>
  <c r="AS365" i="2"/>
  <c r="AS366" i="2"/>
  <c r="AS367" i="2"/>
  <c r="AS368" i="2"/>
  <c r="AS369" i="2"/>
  <c r="AS370" i="2"/>
  <c r="AS371" i="2"/>
  <c r="AS372" i="2"/>
  <c r="AS373" i="2"/>
  <c r="AS374" i="2"/>
  <c r="AS375" i="2"/>
  <c r="AS376" i="2"/>
  <c r="AS377" i="2"/>
  <c r="AS378" i="2"/>
  <c r="AS379" i="2"/>
  <c r="AS380" i="2"/>
  <c r="AS381" i="2"/>
  <c r="AS382" i="2"/>
  <c r="AS383" i="2"/>
  <c r="AS384" i="2"/>
  <c r="AS385" i="2"/>
  <c r="AS386" i="2"/>
  <c r="AS387" i="2"/>
  <c r="AS388" i="2"/>
  <c r="AS389" i="2"/>
  <c r="AS390" i="2"/>
  <c r="AS391" i="2"/>
  <c r="AS392" i="2"/>
  <c r="AS393" i="2"/>
  <c r="AS394" i="2"/>
  <c r="AS395" i="2"/>
  <c r="AS396" i="2"/>
  <c r="AS397" i="2"/>
  <c r="AS398" i="2"/>
  <c r="AS399" i="2"/>
  <c r="AS400" i="2"/>
  <c r="AS401" i="2"/>
  <c r="AS402" i="2"/>
  <c r="AS403" i="2"/>
  <c r="AS404" i="2"/>
  <c r="AS405" i="2"/>
  <c r="AS406" i="2"/>
  <c r="AS407" i="2"/>
  <c r="AS408" i="2"/>
  <c r="AS409" i="2"/>
  <c r="AS410" i="2"/>
  <c r="AS411" i="2"/>
  <c r="AS412" i="2"/>
  <c r="AS413" i="2"/>
  <c r="AS414" i="2"/>
  <c r="AS415" i="2"/>
  <c r="AS416" i="2"/>
  <c r="AS417" i="2"/>
  <c r="AS418" i="2"/>
  <c r="AS419" i="2"/>
  <c r="AS420" i="2"/>
  <c r="AS421" i="2"/>
  <c r="AS422" i="2"/>
  <c r="AS423" i="2"/>
  <c r="AS424" i="2"/>
  <c r="AS425" i="2"/>
  <c r="AS426" i="2"/>
  <c r="AS427" i="2"/>
  <c r="AS428" i="2"/>
  <c r="AS429" i="2"/>
  <c r="AS430" i="2"/>
  <c r="AS431" i="2"/>
  <c r="AS432" i="2"/>
  <c r="AS433" i="2"/>
  <c r="AS434" i="2"/>
  <c r="AS435" i="2"/>
  <c r="AS436" i="2"/>
  <c r="AS437" i="2"/>
  <c r="AS438" i="2"/>
  <c r="AS439" i="2"/>
  <c r="AS440" i="2"/>
  <c r="AS441" i="2"/>
  <c r="AS442" i="2"/>
  <c r="AS443" i="2"/>
  <c r="AS444" i="2"/>
  <c r="AS445" i="2"/>
  <c r="AS446" i="2"/>
  <c r="AS447" i="2"/>
  <c r="AS448" i="2"/>
  <c r="AS449" i="2"/>
  <c r="AS450" i="2"/>
  <c r="AS451" i="2"/>
  <c r="AS452" i="2"/>
  <c r="AS453" i="2"/>
  <c r="AS454" i="2"/>
  <c r="AS455" i="2"/>
  <c r="AS456" i="2"/>
  <c r="AS457" i="2"/>
  <c r="AS458" i="2"/>
  <c r="AS459" i="2"/>
  <c r="AS460" i="2"/>
  <c r="AS461" i="2"/>
  <c r="AS462" i="2"/>
  <c r="AS463" i="2"/>
  <c r="AS464" i="2"/>
  <c r="AS465" i="2"/>
  <c r="AS466" i="2"/>
  <c r="AS467" i="2"/>
  <c r="AS468" i="2"/>
  <c r="AS469" i="2"/>
  <c r="AS470" i="2"/>
  <c r="AS471" i="2"/>
  <c r="AS472" i="2"/>
  <c r="AS473" i="2"/>
  <c r="AS474" i="2"/>
  <c r="AS475" i="2"/>
  <c r="AS476" i="2"/>
  <c r="AS477" i="2"/>
  <c r="AS478" i="2"/>
  <c r="AS479" i="2"/>
  <c r="AS480" i="2"/>
  <c r="AS481" i="2"/>
  <c r="AS482" i="2"/>
  <c r="AS483" i="2"/>
  <c r="AS484" i="2"/>
  <c r="AS485" i="2"/>
  <c r="AS486" i="2"/>
  <c r="AS487" i="2"/>
  <c r="AS488" i="2"/>
  <c r="AS489" i="2"/>
  <c r="AS490" i="2"/>
  <c r="AS491" i="2"/>
  <c r="AS492" i="2"/>
  <c r="AS493" i="2"/>
  <c r="AS494" i="2"/>
  <c r="AS495" i="2"/>
  <c r="AS496" i="2"/>
  <c r="AS497" i="2"/>
  <c r="AS498" i="2"/>
  <c r="AS499" i="2"/>
  <c r="AS500" i="2"/>
  <c r="AS501" i="2"/>
  <c r="AS11" i="2"/>
  <c r="E111" i="5"/>
  <c r="E13" i="5"/>
  <c r="AR13" i="2"/>
  <c r="AR14" i="2"/>
  <c r="N14" i="2"/>
  <c r="AR15" i="2"/>
  <c r="N15" i="2"/>
  <c r="AR16" i="2"/>
  <c r="N16" i="2"/>
  <c r="AR17" i="2"/>
  <c r="N17" i="2"/>
  <c r="AR18" i="2"/>
  <c r="N18" i="2"/>
  <c r="AR19" i="2"/>
  <c r="N19" i="2"/>
  <c r="AR20" i="2"/>
  <c r="N20" i="2"/>
  <c r="AR21" i="2"/>
  <c r="N21" i="2"/>
  <c r="AR22" i="2"/>
  <c r="N22" i="2"/>
  <c r="AR23" i="2"/>
  <c r="N23" i="2"/>
  <c r="AR24" i="2"/>
  <c r="N24" i="2"/>
  <c r="AR25" i="2"/>
  <c r="N25" i="2"/>
  <c r="AR26" i="2"/>
  <c r="N26" i="2"/>
  <c r="AR27" i="2"/>
  <c r="N27" i="2"/>
  <c r="AR28" i="2"/>
  <c r="P87" i="5"/>
  <c r="N28" i="2"/>
  <c r="AR29" i="2"/>
  <c r="N29" i="2"/>
  <c r="AR30" i="2"/>
  <c r="N30" i="2"/>
  <c r="AR31" i="2"/>
  <c r="N31" i="2"/>
  <c r="AR32" i="2"/>
  <c r="N32" i="2"/>
  <c r="AR33" i="2"/>
  <c r="N33" i="2"/>
  <c r="AR34" i="2"/>
  <c r="N34" i="2"/>
  <c r="AR35" i="2"/>
  <c r="N35" i="2"/>
  <c r="O88" i="5"/>
  <c r="M88" i="5"/>
  <c r="L89" i="5"/>
  <c r="P88" i="5"/>
  <c r="N36" i="2"/>
  <c r="N37" i="2"/>
  <c r="N38" i="2"/>
  <c r="N39" i="2"/>
  <c r="N40" i="2"/>
  <c r="N41" i="2"/>
  <c r="N42" i="2"/>
  <c r="N43" i="2"/>
  <c r="O89" i="5"/>
  <c r="M89" i="5"/>
  <c r="L90" i="5"/>
  <c r="P89" i="5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11" i="2"/>
  <c r="J117" i="5"/>
  <c r="AU13" i="2"/>
  <c r="AV13" i="2"/>
  <c r="AX13" i="2"/>
  <c r="E110" i="5"/>
  <c r="AY13" i="2"/>
  <c r="BA13" i="2"/>
  <c r="AK14" i="2"/>
  <c r="AH14" i="2"/>
  <c r="Y14" i="2"/>
  <c r="Z14" i="2"/>
  <c r="AA14" i="2"/>
  <c r="AB14" i="2"/>
  <c r="X14" i="2"/>
  <c r="W14" i="2"/>
  <c r="AL14" i="2"/>
  <c r="AD14" i="2"/>
  <c r="V13" i="2"/>
  <c r="AC14" i="2"/>
  <c r="AE14" i="2"/>
  <c r="AM14" i="2"/>
  <c r="AN14" i="2"/>
  <c r="P14" i="2"/>
  <c r="Q14" i="2"/>
  <c r="E44" i="5"/>
  <c r="E12" i="5"/>
  <c r="G14" i="2"/>
  <c r="E40" i="5"/>
  <c r="E41" i="5"/>
  <c r="J14" i="2"/>
  <c r="F14" i="2"/>
  <c r="I14" i="2"/>
  <c r="S14" i="2"/>
  <c r="M14" i="2"/>
  <c r="L14" i="2"/>
  <c r="K14" i="2"/>
  <c r="R14" i="2"/>
  <c r="T14" i="2"/>
  <c r="AO14" i="2"/>
  <c r="AU14" i="2"/>
  <c r="AV14" i="2"/>
  <c r="AX14" i="2"/>
  <c r="AW13" i="2"/>
  <c r="AZ13" i="2"/>
  <c r="AY14" i="2"/>
  <c r="BA14" i="2"/>
  <c r="AK15" i="2"/>
  <c r="AH15" i="2"/>
  <c r="Y15" i="2"/>
  <c r="Z15" i="2"/>
  <c r="AA15" i="2"/>
  <c r="AB15" i="2"/>
  <c r="X15" i="2"/>
  <c r="W15" i="2"/>
  <c r="AL15" i="2"/>
  <c r="AD15" i="2"/>
  <c r="V14" i="2"/>
  <c r="AC15" i="2"/>
  <c r="AE15" i="2"/>
  <c r="AM15" i="2"/>
  <c r="AN15" i="2"/>
  <c r="P15" i="2"/>
  <c r="Q15" i="2"/>
  <c r="G15" i="2"/>
  <c r="J15" i="2"/>
  <c r="F15" i="2"/>
  <c r="I15" i="2"/>
  <c r="S15" i="2"/>
  <c r="M15" i="2"/>
  <c r="L15" i="2"/>
  <c r="K15" i="2"/>
  <c r="R15" i="2"/>
  <c r="T15" i="2"/>
  <c r="AO15" i="2"/>
  <c r="AU15" i="2"/>
  <c r="AV15" i="2"/>
  <c r="AX15" i="2"/>
  <c r="AW14" i="2"/>
  <c r="AZ14" i="2"/>
  <c r="AY15" i="2"/>
  <c r="BA15" i="2"/>
  <c r="AK16" i="2"/>
  <c r="AH16" i="2"/>
  <c r="Y16" i="2"/>
  <c r="Z16" i="2"/>
  <c r="AA16" i="2"/>
  <c r="AB16" i="2"/>
  <c r="X16" i="2"/>
  <c r="W16" i="2"/>
  <c r="AL16" i="2"/>
  <c r="AD16" i="2"/>
  <c r="V15" i="2"/>
  <c r="AC16" i="2"/>
  <c r="AE16" i="2"/>
  <c r="AM16" i="2"/>
  <c r="AN16" i="2"/>
  <c r="P16" i="2"/>
  <c r="Q16" i="2"/>
  <c r="G16" i="2"/>
  <c r="J16" i="2"/>
  <c r="F16" i="2"/>
  <c r="I16" i="2"/>
  <c r="S16" i="2"/>
  <c r="M16" i="2"/>
  <c r="L16" i="2"/>
  <c r="K16" i="2"/>
  <c r="R16" i="2"/>
  <c r="T16" i="2"/>
  <c r="AO16" i="2"/>
  <c r="AU16" i="2"/>
  <c r="AV16" i="2"/>
  <c r="AX16" i="2"/>
  <c r="AW15" i="2"/>
  <c r="AZ15" i="2"/>
  <c r="AY16" i="2"/>
  <c r="BA16" i="2"/>
  <c r="AK17" i="2"/>
  <c r="AH17" i="2"/>
  <c r="Y17" i="2"/>
  <c r="Z17" i="2"/>
  <c r="AA17" i="2"/>
  <c r="AB17" i="2"/>
  <c r="X17" i="2"/>
  <c r="W17" i="2"/>
  <c r="AL17" i="2"/>
  <c r="AD17" i="2"/>
  <c r="V16" i="2"/>
  <c r="AC17" i="2"/>
  <c r="AE17" i="2"/>
  <c r="AM17" i="2"/>
  <c r="AN17" i="2"/>
  <c r="P17" i="2"/>
  <c r="Q17" i="2"/>
  <c r="G17" i="2"/>
  <c r="J17" i="2"/>
  <c r="F17" i="2"/>
  <c r="I17" i="2"/>
  <c r="S17" i="2"/>
  <c r="M17" i="2"/>
  <c r="L17" i="2"/>
  <c r="K17" i="2"/>
  <c r="R17" i="2"/>
  <c r="T17" i="2"/>
  <c r="AO17" i="2"/>
  <c r="AU17" i="2"/>
  <c r="AV17" i="2"/>
  <c r="AX17" i="2"/>
  <c r="AW16" i="2"/>
  <c r="AZ16" i="2"/>
  <c r="AY17" i="2"/>
  <c r="BA17" i="2"/>
  <c r="AK18" i="2"/>
  <c r="AH18" i="2"/>
  <c r="Y18" i="2"/>
  <c r="Z18" i="2"/>
  <c r="AA18" i="2"/>
  <c r="AB18" i="2"/>
  <c r="X18" i="2"/>
  <c r="W18" i="2"/>
  <c r="AL18" i="2"/>
  <c r="AD18" i="2"/>
  <c r="V17" i="2"/>
  <c r="AC18" i="2"/>
  <c r="AE18" i="2"/>
  <c r="AM18" i="2"/>
  <c r="AN18" i="2"/>
  <c r="P18" i="2"/>
  <c r="Q18" i="2"/>
  <c r="G18" i="2"/>
  <c r="J18" i="2"/>
  <c r="F18" i="2"/>
  <c r="I18" i="2"/>
  <c r="S18" i="2"/>
  <c r="M18" i="2"/>
  <c r="L18" i="2"/>
  <c r="K18" i="2"/>
  <c r="R18" i="2"/>
  <c r="T18" i="2"/>
  <c r="AO18" i="2"/>
  <c r="AU18" i="2"/>
  <c r="AV18" i="2"/>
  <c r="AX18" i="2"/>
  <c r="AW17" i="2"/>
  <c r="AZ17" i="2"/>
  <c r="AY18" i="2"/>
  <c r="BA18" i="2"/>
  <c r="AK19" i="2"/>
  <c r="AH19" i="2"/>
  <c r="Y19" i="2"/>
  <c r="Z19" i="2"/>
  <c r="AA19" i="2"/>
  <c r="AB19" i="2"/>
  <c r="X19" i="2"/>
  <c r="W19" i="2"/>
  <c r="AL19" i="2"/>
  <c r="AD19" i="2"/>
  <c r="V18" i="2"/>
  <c r="AC19" i="2"/>
  <c r="AE19" i="2"/>
  <c r="AM19" i="2"/>
  <c r="AN19" i="2"/>
  <c r="P19" i="2"/>
  <c r="Q19" i="2"/>
  <c r="G19" i="2"/>
  <c r="J19" i="2"/>
  <c r="F19" i="2"/>
  <c r="I19" i="2"/>
  <c r="S19" i="2"/>
  <c r="M19" i="2"/>
  <c r="L19" i="2"/>
  <c r="K19" i="2"/>
  <c r="R19" i="2"/>
  <c r="T19" i="2"/>
  <c r="AO19" i="2"/>
  <c r="AU19" i="2"/>
  <c r="AV19" i="2"/>
  <c r="AX19" i="2"/>
  <c r="AW18" i="2"/>
  <c r="AZ18" i="2"/>
  <c r="AY19" i="2"/>
  <c r="BA19" i="2"/>
  <c r="AK20" i="2"/>
  <c r="AH20" i="2"/>
  <c r="Y20" i="2"/>
  <c r="Z20" i="2"/>
  <c r="AA20" i="2"/>
  <c r="AB20" i="2"/>
  <c r="X20" i="2"/>
  <c r="W20" i="2"/>
  <c r="AL20" i="2"/>
  <c r="AD20" i="2"/>
  <c r="V19" i="2"/>
  <c r="AC20" i="2"/>
  <c r="AE20" i="2"/>
  <c r="AM20" i="2"/>
  <c r="AN20" i="2"/>
  <c r="P20" i="2"/>
  <c r="Q20" i="2"/>
  <c r="G20" i="2"/>
  <c r="J20" i="2"/>
  <c r="F20" i="2"/>
  <c r="I20" i="2"/>
  <c r="S20" i="2"/>
  <c r="M20" i="2"/>
  <c r="L20" i="2"/>
  <c r="K20" i="2"/>
  <c r="R20" i="2"/>
  <c r="T20" i="2"/>
  <c r="AO20" i="2"/>
  <c r="AU20" i="2"/>
  <c r="AV20" i="2"/>
  <c r="AX20" i="2"/>
  <c r="AW19" i="2"/>
  <c r="AZ19" i="2"/>
  <c r="AY20" i="2"/>
  <c r="BA20" i="2"/>
  <c r="AK21" i="2"/>
  <c r="AH21" i="2"/>
  <c r="Y21" i="2"/>
  <c r="Z21" i="2"/>
  <c r="AA21" i="2"/>
  <c r="AB21" i="2"/>
  <c r="X21" i="2"/>
  <c r="W21" i="2"/>
  <c r="AL21" i="2"/>
  <c r="AD21" i="2"/>
  <c r="V20" i="2"/>
  <c r="AC21" i="2"/>
  <c r="AE21" i="2"/>
  <c r="AM21" i="2"/>
  <c r="AN21" i="2"/>
  <c r="P21" i="2"/>
  <c r="Q21" i="2"/>
  <c r="G21" i="2"/>
  <c r="J21" i="2"/>
  <c r="F21" i="2"/>
  <c r="I21" i="2"/>
  <c r="S21" i="2"/>
  <c r="M21" i="2"/>
  <c r="L21" i="2"/>
  <c r="K21" i="2"/>
  <c r="R21" i="2"/>
  <c r="T21" i="2"/>
  <c r="AO21" i="2"/>
  <c r="AU21" i="2"/>
  <c r="AV21" i="2"/>
  <c r="AX21" i="2"/>
  <c r="AW20" i="2"/>
  <c r="AZ20" i="2"/>
  <c r="AY21" i="2"/>
  <c r="BA21" i="2"/>
  <c r="AK22" i="2"/>
  <c r="AH22" i="2"/>
  <c r="Y22" i="2"/>
  <c r="Z22" i="2"/>
  <c r="AA22" i="2"/>
  <c r="AB22" i="2"/>
  <c r="X22" i="2"/>
  <c r="W22" i="2"/>
  <c r="AL22" i="2"/>
  <c r="AD22" i="2"/>
  <c r="V21" i="2"/>
  <c r="AC22" i="2"/>
  <c r="AE22" i="2"/>
  <c r="AM22" i="2"/>
  <c r="AN22" i="2"/>
  <c r="P22" i="2"/>
  <c r="Q22" i="2"/>
  <c r="G22" i="2"/>
  <c r="J22" i="2"/>
  <c r="F22" i="2"/>
  <c r="I22" i="2"/>
  <c r="S22" i="2"/>
  <c r="M22" i="2"/>
  <c r="L22" i="2"/>
  <c r="K22" i="2"/>
  <c r="R22" i="2"/>
  <c r="T22" i="2"/>
  <c r="AO22" i="2"/>
  <c r="AU22" i="2"/>
  <c r="AV22" i="2"/>
  <c r="AX22" i="2"/>
  <c r="AW21" i="2"/>
  <c r="AZ21" i="2"/>
  <c r="AY22" i="2"/>
  <c r="BA22" i="2"/>
  <c r="AK23" i="2"/>
  <c r="AH23" i="2"/>
  <c r="Y23" i="2"/>
  <c r="Z23" i="2"/>
  <c r="AA23" i="2"/>
  <c r="AB23" i="2"/>
  <c r="X23" i="2"/>
  <c r="W23" i="2"/>
  <c r="AL23" i="2"/>
  <c r="AD23" i="2"/>
  <c r="V22" i="2"/>
  <c r="AC23" i="2"/>
  <c r="AE23" i="2"/>
  <c r="AM23" i="2"/>
  <c r="AN23" i="2"/>
  <c r="P23" i="2"/>
  <c r="Q23" i="2"/>
  <c r="G23" i="2"/>
  <c r="J23" i="2"/>
  <c r="F23" i="2"/>
  <c r="I23" i="2"/>
  <c r="S23" i="2"/>
  <c r="M23" i="2"/>
  <c r="L23" i="2"/>
  <c r="K23" i="2"/>
  <c r="R23" i="2"/>
  <c r="T23" i="2"/>
  <c r="AO23" i="2"/>
  <c r="AU23" i="2"/>
  <c r="AV23" i="2"/>
  <c r="AX23" i="2"/>
  <c r="AW22" i="2"/>
  <c r="AZ22" i="2"/>
  <c r="AY23" i="2"/>
  <c r="BA23" i="2"/>
  <c r="D24" i="2"/>
  <c r="AI24" i="2"/>
  <c r="V23" i="2"/>
  <c r="V24" i="2"/>
  <c r="AK24" i="2"/>
  <c r="AF24" i="2"/>
  <c r="AH24" i="2"/>
  <c r="Y24" i="2"/>
  <c r="Z24" i="2"/>
  <c r="AA24" i="2"/>
  <c r="AB24" i="2"/>
  <c r="X24" i="2"/>
  <c r="W24" i="2"/>
  <c r="AL24" i="2"/>
  <c r="AD24" i="2"/>
  <c r="AC24" i="2"/>
  <c r="AE24" i="2"/>
  <c r="AM24" i="2"/>
  <c r="AN24" i="2"/>
  <c r="P24" i="2"/>
  <c r="Q24" i="2"/>
  <c r="G24" i="2"/>
  <c r="J24" i="2"/>
  <c r="F24" i="2"/>
  <c r="I24" i="2"/>
  <c r="S24" i="2"/>
  <c r="M24" i="2"/>
  <c r="L24" i="2"/>
  <c r="K24" i="2"/>
  <c r="R24" i="2"/>
  <c r="T24" i="2"/>
  <c r="AO24" i="2"/>
  <c r="AU24" i="2"/>
  <c r="AV24" i="2"/>
  <c r="AX24" i="2"/>
  <c r="AW23" i="2"/>
  <c r="AZ23" i="2"/>
  <c r="AY24" i="2"/>
  <c r="BA24" i="2"/>
  <c r="V25" i="2"/>
  <c r="AK25" i="2"/>
  <c r="AH25" i="2"/>
  <c r="Y25" i="2"/>
  <c r="Z25" i="2"/>
  <c r="AA25" i="2"/>
  <c r="AB25" i="2"/>
  <c r="X25" i="2"/>
  <c r="W25" i="2"/>
  <c r="AL25" i="2"/>
  <c r="AD25" i="2"/>
  <c r="AC25" i="2"/>
  <c r="AE25" i="2"/>
  <c r="AM25" i="2"/>
  <c r="AN25" i="2"/>
  <c r="P25" i="2"/>
  <c r="Q25" i="2"/>
  <c r="G25" i="2"/>
  <c r="J25" i="2"/>
  <c r="F25" i="2"/>
  <c r="I25" i="2"/>
  <c r="S25" i="2"/>
  <c r="M25" i="2"/>
  <c r="L25" i="2"/>
  <c r="K25" i="2"/>
  <c r="R25" i="2"/>
  <c r="T25" i="2"/>
  <c r="AO25" i="2"/>
  <c r="AU25" i="2"/>
  <c r="AV25" i="2"/>
  <c r="AX25" i="2"/>
  <c r="AW24" i="2"/>
  <c r="AZ24" i="2"/>
  <c r="AY25" i="2"/>
  <c r="BA25" i="2"/>
  <c r="V26" i="2"/>
  <c r="AK26" i="2"/>
  <c r="AH26" i="2"/>
  <c r="Y26" i="2"/>
  <c r="Z26" i="2"/>
  <c r="AA26" i="2"/>
  <c r="AB26" i="2"/>
  <c r="X26" i="2"/>
  <c r="W26" i="2"/>
  <c r="AL26" i="2"/>
  <c r="AD26" i="2"/>
  <c r="AC26" i="2"/>
  <c r="AE26" i="2"/>
  <c r="AM26" i="2"/>
  <c r="AN26" i="2"/>
  <c r="P26" i="2"/>
  <c r="Q26" i="2"/>
  <c r="G26" i="2"/>
  <c r="J26" i="2"/>
  <c r="F26" i="2"/>
  <c r="I26" i="2"/>
  <c r="S26" i="2"/>
  <c r="M26" i="2"/>
  <c r="L26" i="2"/>
  <c r="K26" i="2"/>
  <c r="R26" i="2"/>
  <c r="T26" i="2"/>
  <c r="AO26" i="2"/>
  <c r="AU26" i="2"/>
  <c r="AV26" i="2"/>
  <c r="AX26" i="2"/>
  <c r="AW25" i="2"/>
  <c r="AZ25" i="2"/>
  <c r="AY26" i="2"/>
  <c r="BA26" i="2"/>
  <c r="V27" i="2"/>
  <c r="AK27" i="2"/>
  <c r="AH27" i="2"/>
  <c r="Y27" i="2"/>
  <c r="Z27" i="2"/>
  <c r="AA27" i="2"/>
  <c r="AB27" i="2"/>
  <c r="X27" i="2"/>
  <c r="W27" i="2"/>
  <c r="AL27" i="2"/>
  <c r="AD27" i="2"/>
  <c r="AC27" i="2"/>
  <c r="AE27" i="2"/>
  <c r="AM27" i="2"/>
  <c r="AN27" i="2"/>
  <c r="P27" i="2"/>
  <c r="Q27" i="2"/>
  <c r="G27" i="2"/>
  <c r="J27" i="2"/>
  <c r="F27" i="2"/>
  <c r="I27" i="2"/>
  <c r="S27" i="2"/>
  <c r="M27" i="2"/>
  <c r="L27" i="2"/>
  <c r="K27" i="2"/>
  <c r="R27" i="2"/>
  <c r="T27" i="2"/>
  <c r="AO27" i="2"/>
  <c r="AU27" i="2"/>
  <c r="AV27" i="2"/>
  <c r="AX27" i="2"/>
  <c r="AW26" i="2"/>
  <c r="AZ26" i="2"/>
  <c r="AY27" i="2"/>
  <c r="BA27" i="2"/>
  <c r="V28" i="2"/>
  <c r="AK28" i="2"/>
  <c r="AH28" i="2"/>
  <c r="Y28" i="2"/>
  <c r="Z28" i="2"/>
  <c r="AA28" i="2"/>
  <c r="AB28" i="2"/>
  <c r="X28" i="2"/>
  <c r="W28" i="2"/>
  <c r="AL28" i="2"/>
  <c r="AD28" i="2"/>
  <c r="AC28" i="2"/>
  <c r="AE28" i="2"/>
  <c r="AM28" i="2"/>
  <c r="AN28" i="2"/>
  <c r="P28" i="2"/>
  <c r="Q28" i="2"/>
  <c r="G28" i="2"/>
  <c r="J28" i="2"/>
  <c r="F28" i="2"/>
  <c r="I28" i="2"/>
  <c r="S28" i="2"/>
  <c r="M28" i="2"/>
  <c r="L28" i="2"/>
  <c r="K28" i="2"/>
  <c r="R28" i="2"/>
  <c r="T28" i="2"/>
  <c r="AO28" i="2"/>
  <c r="AU28" i="2"/>
  <c r="AV28" i="2"/>
  <c r="AX28" i="2"/>
  <c r="AW27" i="2"/>
  <c r="AZ27" i="2"/>
  <c r="AY28" i="2"/>
  <c r="BA28" i="2"/>
  <c r="V29" i="2"/>
  <c r="AK29" i="2"/>
  <c r="AH29" i="2"/>
  <c r="Y29" i="2"/>
  <c r="Z29" i="2"/>
  <c r="AA29" i="2"/>
  <c r="AB29" i="2"/>
  <c r="X29" i="2"/>
  <c r="W29" i="2"/>
  <c r="AL29" i="2"/>
  <c r="AD29" i="2"/>
  <c r="AC29" i="2"/>
  <c r="AE29" i="2"/>
  <c r="AM29" i="2"/>
  <c r="AN29" i="2"/>
  <c r="P29" i="2"/>
  <c r="Q29" i="2"/>
  <c r="G29" i="2"/>
  <c r="J29" i="2"/>
  <c r="F29" i="2"/>
  <c r="I29" i="2"/>
  <c r="S29" i="2"/>
  <c r="M29" i="2"/>
  <c r="L29" i="2"/>
  <c r="K29" i="2"/>
  <c r="R29" i="2"/>
  <c r="T29" i="2"/>
  <c r="AO29" i="2"/>
  <c r="AU29" i="2"/>
  <c r="AV29" i="2"/>
  <c r="AX29" i="2"/>
  <c r="AW28" i="2"/>
  <c r="AZ28" i="2"/>
  <c r="AY29" i="2"/>
  <c r="BA29" i="2"/>
  <c r="V30" i="2"/>
  <c r="AK30" i="2"/>
  <c r="AH30" i="2"/>
  <c r="Y30" i="2"/>
  <c r="Z30" i="2"/>
  <c r="AA30" i="2"/>
  <c r="AB30" i="2"/>
  <c r="X30" i="2"/>
  <c r="W30" i="2"/>
  <c r="AL30" i="2"/>
  <c r="AD30" i="2"/>
  <c r="AC30" i="2"/>
  <c r="AE30" i="2"/>
  <c r="AM30" i="2"/>
  <c r="AN30" i="2"/>
  <c r="P30" i="2"/>
  <c r="Q30" i="2"/>
  <c r="G30" i="2"/>
  <c r="J30" i="2"/>
  <c r="F30" i="2"/>
  <c r="I30" i="2"/>
  <c r="S30" i="2"/>
  <c r="M30" i="2"/>
  <c r="L30" i="2"/>
  <c r="K30" i="2"/>
  <c r="R30" i="2"/>
  <c r="T30" i="2"/>
  <c r="AO30" i="2"/>
  <c r="AU30" i="2"/>
  <c r="AV30" i="2"/>
  <c r="AX30" i="2"/>
  <c r="AW29" i="2"/>
  <c r="AZ29" i="2"/>
  <c r="AY30" i="2"/>
  <c r="BA30" i="2"/>
  <c r="V31" i="2"/>
  <c r="AK31" i="2"/>
  <c r="AH31" i="2"/>
  <c r="Y31" i="2"/>
  <c r="Z31" i="2"/>
  <c r="AA31" i="2"/>
  <c r="AB31" i="2"/>
  <c r="X31" i="2"/>
  <c r="W31" i="2"/>
  <c r="AL31" i="2"/>
  <c r="AD31" i="2"/>
  <c r="AC31" i="2"/>
  <c r="AE31" i="2"/>
  <c r="AM31" i="2"/>
  <c r="AN31" i="2"/>
  <c r="P31" i="2"/>
  <c r="Q31" i="2"/>
  <c r="G31" i="2"/>
  <c r="J31" i="2"/>
  <c r="F31" i="2"/>
  <c r="I31" i="2"/>
  <c r="S31" i="2"/>
  <c r="M31" i="2"/>
  <c r="L31" i="2"/>
  <c r="K31" i="2"/>
  <c r="R31" i="2"/>
  <c r="T31" i="2"/>
  <c r="AO31" i="2"/>
  <c r="AU31" i="2"/>
  <c r="AV31" i="2"/>
  <c r="AX31" i="2"/>
  <c r="AW30" i="2"/>
  <c r="AZ30" i="2"/>
  <c r="AY31" i="2"/>
  <c r="BA31" i="2"/>
  <c r="V32" i="2"/>
  <c r="AK32" i="2"/>
  <c r="AH32" i="2"/>
  <c r="Y32" i="2"/>
  <c r="Z32" i="2"/>
  <c r="AA32" i="2"/>
  <c r="AB32" i="2"/>
  <c r="X32" i="2"/>
  <c r="W32" i="2"/>
  <c r="AL32" i="2"/>
  <c r="AD32" i="2"/>
  <c r="AC32" i="2"/>
  <c r="AE32" i="2"/>
  <c r="AM32" i="2"/>
  <c r="AN32" i="2"/>
  <c r="P32" i="2"/>
  <c r="Q32" i="2"/>
  <c r="G32" i="2"/>
  <c r="J32" i="2"/>
  <c r="F32" i="2"/>
  <c r="I32" i="2"/>
  <c r="S32" i="2"/>
  <c r="M32" i="2"/>
  <c r="L32" i="2"/>
  <c r="K32" i="2"/>
  <c r="R32" i="2"/>
  <c r="T32" i="2"/>
  <c r="AO32" i="2"/>
  <c r="AU32" i="2"/>
  <c r="AV32" i="2"/>
  <c r="AX32" i="2"/>
  <c r="AW31" i="2"/>
  <c r="AZ31" i="2"/>
  <c r="AY32" i="2"/>
  <c r="BA32" i="2"/>
  <c r="V33" i="2"/>
  <c r="AK33" i="2"/>
  <c r="AH33" i="2"/>
  <c r="Y33" i="2"/>
  <c r="Z33" i="2"/>
  <c r="AA33" i="2"/>
  <c r="AB33" i="2"/>
  <c r="X33" i="2"/>
  <c r="W33" i="2"/>
  <c r="AL33" i="2"/>
  <c r="AD33" i="2"/>
  <c r="AC33" i="2"/>
  <c r="AE33" i="2"/>
  <c r="AM33" i="2"/>
  <c r="AN33" i="2"/>
  <c r="P33" i="2"/>
  <c r="Q33" i="2"/>
  <c r="G33" i="2"/>
  <c r="J33" i="2"/>
  <c r="F33" i="2"/>
  <c r="I33" i="2"/>
  <c r="S33" i="2"/>
  <c r="M33" i="2"/>
  <c r="L33" i="2"/>
  <c r="K33" i="2"/>
  <c r="R33" i="2"/>
  <c r="T33" i="2"/>
  <c r="AO33" i="2"/>
  <c r="AU33" i="2"/>
  <c r="AV33" i="2"/>
  <c r="AX33" i="2"/>
  <c r="AW32" i="2"/>
  <c r="AZ32" i="2"/>
  <c r="AY33" i="2"/>
  <c r="BA33" i="2"/>
  <c r="V34" i="2"/>
  <c r="AK34" i="2"/>
  <c r="AH34" i="2"/>
  <c r="Y34" i="2"/>
  <c r="Z34" i="2"/>
  <c r="AA34" i="2"/>
  <c r="AB34" i="2"/>
  <c r="X34" i="2"/>
  <c r="W34" i="2"/>
  <c r="AL34" i="2"/>
  <c r="AD34" i="2"/>
  <c r="AC34" i="2"/>
  <c r="AE34" i="2"/>
  <c r="AM34" i="2"/>
  <c r="AN34" i="2"/>
  <c r="P34" i="2"/>
  <c r="Q34" i="2"/>
  <c r="G34" i="2"/>
  <c r="J34" i="2"/>
  <c r="F34" i="2"/>
  <c r="I34" i="2"/>
  <c r="S34" i="2"/>
  <c r="M34" i="2"/>
  <c r="L34" i="2"/>
  <c r="K34" i="2"/>
  <c r="R34" i="2"/>
  <c r="T34" i="2"/>
  <c r="AO34" i="2"/>
  <c r="AU34" i="2"/>
  <c r="AV34" i="2"/>
  <c r="AX34" i="2"/>
  <c r="AW33" i="2"/>
  <c r="AZ33" i="2"/>
  <c r="AY34" i="2"/>
  <c r="BA34" i="2"/>
  <c r="V35" i="2"/>
  <c r="AK35" i="2"/>
  <c r="AH35" i="2"/>
  <c r="Y35" i="2"/>
  <c r="Z35" i="2"/>
  <c r="AA35" i="2"/>
  <c r="AB35" i="2"/>
  <c r="X35" i="2"/>
  <c r="W35" i="2"/>
  <c r="AL35" i="2"/>
  <c r="AD35" i="2"/>
  <c r="AC35" i="2"/>
  <c r="AE35" i="2"/>
  <c r="AM35" i="2"/>
  <c r="AN35" i="2"/>
  <c r="P35" i="2"/>
  <c r="Q35" i="2"/>
  <c r="G35" i="2"/>
  <c r="J35" i="2"/>
  <c r="F35" i="2"/>
  <c r="I35" i="2"/>
  <c r="S35" i="2"/>
  <c r="M35" i="2"/>
  <c r="L35" i="2"/>
  <c r="K35" i="2"/>
  <c r="R35" i="2"/>
  <c r="T35" i="2"/>
  <c r="AO35" i="2"/>
  <c r="AU35" i="2"/>
  <c r="AV35" i="2"/>
  <c r="AX35" i="2"/>
  <c r="AW34" i="2"/>
  <c r="AZ34" i="2"/>
  <c r="AY35" i="2"/>
  <c r="BA35" i="2"/>
  <c r="V36" i="2"/>
  <c r="AK36" i="2"/>
  <c r="AH36" i="2"/>
  <c r="Y36" i="2"/>
  <c r="Z36" i="2"/>
  <c r="AA36" i="2"/>
  <c r="AB36" i="2"/>
  <c r="X36" i="2"/>
  <c r="W36" i="2"/>
  <c r="AL36" i="2"/>
  <c r="AD36" i="2"/>
  <c r="AC36" i="2"/>
  <c r="AE36" i="2"/>
  <c r="AM36" i="2"/>
  <c r="AN36" i="2"/>
  <c r="P36" i="2"/>
  <c r="Q36" i="2"/>
  <c r="G36" i="2"/>
  <c r="J36" i="2"/>
  <c r="F36" i="2"/>
  <c r="I36" i="2"/>
  <c r="S36" i="2"/>
  <c r="M36" i="2"/>
  <c r="L36" i="2"/>
  <c r="K36" i="2"/>
  <c r="R36" i="2"/>
  <c r="T36" i="2"/>
  <c r="AO36" i="2"/>
  <c r="E112" i="5"/>
  <c r="E113" i="5"/>
  <c r="AU36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AT36" i="2"/>
  <c r="AV36" i="2"/>
  <c r="AX36" i="2"/>
  <c r="AW35" i="2"/>
  <c r="AZ35" i="2"/>
  <c r="AY36" i="2"/>
  <c r="BA36" i="2"/>
  <c r="V37" i="2"/>
  <c r="AK37" i="2"/>
  <c r="AH37" i="2"/>
  <c r="Y37" i="2"/>
  <c r="Z37" i="2"/>
  <c r="AA37" i="2"/>
  <c r="AB37" i="2"/>
  <c r="X37" i="2"/>
  <c r="W37" i="2"/>
  <c r="AL37" i="2"/>
  <c r="AD37" i="2"/>
  <c r="AC37" i="2"/>
  <c r="AE37" i="2"/>
  <c r="AM37" i="2"/>
  <c r="AN37" i="2"/>
  <c r="P37" i="2"/>
  <c r="Q37" i="2"/>
  <c r="G37" i="2"/>
  <c r="J37" i="2"/>
  <c r="F37" i="2"/>
  <c r="I37" i="2"/>
  <c r="S37" i="2"/>
  <c r="M37" i="2"/>
  <c r="L37" i="2"/>
  <c r="K37" i="2"/>
  <c r="R37" i="2"/>
  <c r="T37" i="2"/>
  <c r="AO37" i="2"/>
  <c r="AU37" i="2"/>
  <c r="AT37" i="2"/>
  <c r="AV37" i="2"/>
  <c r="AX37" i="2"/>
  <c r="AW36" i="2"/>
  <c r="AZ36" i="2"/>
  <c r="AY37" i="2"/>
  <c r="BA37" i="2"/>
  <c r="V38" i="2"/>
  <c r="AK38" i="2"/>
  <c r="AH38" i="2"/>
  <c r="Y38" i="2"/>
  <c r="Z38" i="2"/>
  <c r="AA38" i="2"/>
  <c r="AB38" i="2"/>
  <c r="X38" i="2"/>
  <c r="W38" i="2"/>
  <c r="AL38" i="2"/>
  <c r="AD38" i="2"/>
  <c r="AC38" i="2"/>
  <c r="AE38" i="2"/>
  <c r="AM38" i="2"/>
  <c r="AN38" i="2"/>
  <c r="P38" i="2"/>
  <c r="Q38" i="2"/>
  <c r="G38" i="2"/>
  <c r="J38" i="2"/>
  <c r="F38" i="2"/>
  <c r="I38" i="2"/>
  <c r="S38" i="2"/>
  <c r="M38" i="2"/>
  <c r="L38" i="2"/>
  <c r="K38" i="2"/>
  <c r="R38" i="2"/>
  <c r="T38" i="2"/>
  <c r="AO38" i="2"/>
  <c r="AU38" i="2"/>
  <c r="AT38" i="2"/>
  <c r="AV38" i="2"/>
  <c r="AX38" i="2"/>
  <c r="AW37" i="2"/>
  <c r="AZ37" i="2"/>
  <c r="AY38" i="2"/>
  <c r="BA38" i="2"/>
  <c r="V39" i="2"/>
  <c r="AK39" i="2"/>
  <c r="AH39" i="2"/>
  <c r="Y39" i="2"/>
  <c r="Z39" i="2"/>
  <c r="AA39" i="2"/>
  <c r="AB39" i="2"/>
  <c r="X39" i="2"/>
  <c r="W39" i="2"/>
  <c r="AL39" i="2"/>
  <c r="AD39" i="2"/>
  <c r="AC39" i="2"/>
  <c r="AE39" i="2"/>
  <c r="AM39" i="2"/>
  <c r="AN39" i="2"/>
  <c r="P39" i="2"/>
  <c r="Q39" i="2"/>
  <c r="G39" i="2"/>
  <c r="J39" i="2"/>
  <c r="F39" i="2"/>
  <c r="I39" i="2"/>
  <c r="S39" i="2"/>
  <c r="M39" i="2"/>
  <c r="L39" i="2"/>
  <c r="K39" i="2"/>
  <c r="R39" i="2"/>
  <c r="T39" i="2"/>
  <c r="AO39" i="2"/>
  <c r="AU39" i="2"/>
  <c r="AT39" i="2"/>
  <c r="AV39" i="2"/>
  <c r="AX39" i="2"/>
  <c r="AW38" i="2"/>
  <c r="AZ38" i="2"/>
  <c r="AY39" i="2"/>
  <c r="BA39" i="2"/>
  <c r="V40" i="2"/>
  <c r="AK40" i="2"/>
  <c r="AH40" i="2"/>
  <c r="Y40" i="2"/>
  <c r="Z40" i="2"/>
  <c r="AA40" i="2"/>
  <c r="AB40" i="2"/>
  <c r="X40" i="2"/>
  <c r="W40" i="2"/>
  <c r="AL40" i="2"/>
  <c r="AD40" i="2"/>
  <c r="AC40" i="2"/>
  <c r="AE40" i="2"/>
  <c r="AM40" i="2"/>
  <c r="AN40" i="2"/>
  <c r="P40" i="2"/>
  <c r="Q40" i="2"/>
  <c r="G40" i="2"/>
  <c r="J40" i="2"/>
  <c r="F40" i="2"/>
  <c r="I40" i="2"/>
  <c r="S40" i="2"/>
  <c r="M40" i="2"/>
  <c r="L40" i="2"/>
  <c r="K40" i="2"/>
  <c r="R40" i="2"/>
  <c r="T40" i="2"/>
  <c r="AO40" i="2"/>
  <c r="AU40" i="2"/>
  <c r="AT40" i="2"/>
  <c r="AV40" i="2"/>
  <c r="AX40" i="2"/>
  <c r="AW39" i="2"/>
  <c r="AZ39" i="2"/>
  <c r="AY40" i="2"/>
  <c r="BA40" i="2"/>
  <c r="V41" i="2"/>
  <c r="AK41" i="2"/>
  <c r="AH41" i="2"/>
  <c r="Y41" i="2"/>
  <c r="Z41" i="2"/>
  <c r="AA41" i="2"/>
  <c r="AB41" i="2"/>
  <c r="X41" i="2"/>
  <c r="W41" i="2"/>
  <c r="AL41" i="2"/>
  <c r="AD41" i="2"/>
  <c r="AC41" i="2"/>
  <c r="AE41" i="2"/>
  <c r="AM41" i="2"/>
  <c r="AN41" i="2"/>
  <c r="P41" i="2"/>
  <c r="Q41" i="2"/>
  <c r="G41" i="2"/>
  <c r="J41" i="2"/>
  <c r="F41" i="2"/>
  <c r="I41" i="2"/>
  <c r="S41" i="2"/>
  <c r="M41" i="2"/>
  <c r="L41" i="2"/>
  <c r="K41" i="2"/>
  <c r="R41" i="2"/>
  <c r="T41" i="2"/>
  <c r="AO41" i="2"/>
  <c r="AU41" i="2"/>
  <c r="AT41" i="2"/>
  <c r="AV41" i="2"/>
  <c r="AX41" i="2"/>
  <c r="AW40" i="2"/>
  <c r="AZ40" i="2"/>
  <c r="AY41" i="2"/>
  <c r="BA41" i="2"/>
  <c r="V42" i="2"/>
  <c r="AK42" i="2"/>
  <c r="AH42" i="2"/>
  <c r="Y42" i="2"/>
  <c r="Z42" i="2"/>
  <c r="AA42" i="2"/>
  <c r="AB42" i="2"/>
  <c r="X42" i="2"/>
  <c r="W42" i="2"/>
  <c r="AL42" i="2"/>
  <c r="AD42" i="2"/>
  <c r="AC42" i="2"/>
  <c r="AE42" i="2"/>
  <c r="AM42" i="2"/>
  <c r="AN42" i="2"/>
  <c r="P42" i="2"/>
  <c r="Q42" i="2"/>
  <c r="G42" i="2"/>
  <c r="J42" i="2"/>
  <c r="F42" i="2"/>
  <c r="I42" i="2"/>
  <c r="S42" i="2"/>
  <c r="M42" i="2"/>
  <c r="L42" i="2"/>
  <c r="K42" i="2"/>
  <c r="R42" i="2"/>
  <c r="T42" i="2"/>
  <c r="AO42" i="2"/>
  <c r="AU42" i="2"/>
  <c r="AT42" i="2"/>
  <c r="AV42" i="2"/>
  <c r="AX42" i="2"/>
  <c r="AW41" i="2"/>
  <c r="AZ41" i="2"/>
  <c r="AY42" i="2"/>
  <c r="BA42" i="2"/>
  <c r="V43" i="2"/>
  <c r="AK43" i="2"/>
  <c r="AH43" i="2"/>
  <c r="Y43" i="2"/>
  <c r="Z43" i="2"/>
  <c r="AA43" i="2"/>
  <c r="AB43" i="2"/>
  <c r="X43" i="2"/>
  <c r="W43" i="2"/>
  <c r="AL43" i="2"/>
  <c r="AD43" i="2"/>
  <c r="AC43" i="2"/>
  <c r="AE43" i="2"/>
  <c r="AM43" i="2"/>
  <c r="AN43" i="2"/>
  <c r="P43" i="2"/>
  <c r="Q43" i="2"/>
  <c r="G43" i="2"/>
  <c r="J43" i="2"/>
  <c r="F43" i="2"/>
  <c r="I43" i="2"/>
  <c r="S43" i="2"/>
  <c r="M43" i="2"/>
  <c r="L43" i="2"/>
  <c r="K43" i="2"/>
  <c r="R43" i="2"/>
  <c r="T43" i="2"/>
  <c r="AO43" i="2"/>
  <c r="AU43" i="2"/>
  <c r="AT43" i="2"/>
  <c r="AV43" i="2"/>
  <c r="AX43" i="2"/>
  <c r="AW42" i="2"/>
  <c r="AZ42" i="2"/>
  <c r="AY43" i="2"/>
  <c r="BA43" i="2"/>
  <c r="V44" i="2"/>
  <c r="AK44" i="2"/>
  <c r="AH44" i="2"/>
  <c r="Y44" i="2"/>
  <c r="Z44" i="2"/>
  <c r="AA44" i="2"/>
  <c r="AB44" i="2"/>
  <c r="X44" i="2"/>
  <c r="W44" i="2"/>
  <c r="AL44" i="2"/>
  <c r="AD44" i="2"/>
  <c r="AC44" i="2"/>
  <c r="AE44" i="2"/>
  <c r="AM44" i="2"/>
  <c r="AN44" i="2"/>
  <c r="P44" i="2"/>
  <c r="Q44" i="2"/>
  <c r="G44" i="2"/>
  <c r="J44" i="2"/>
  <c r="F44" i="2"/>
  <c r="I44" i="2"/>
  <c r="S44" i="2"/>
  <c r="M44" i="2"/>
  <c r="L44" i="2"/>
  <c r="K44" i="2"/>
  <c r="R44" i="2"/>
  <c r="T44" i="2"/>
  <c r="AO44" i="2"/>
  <c r="AU44" i="2"/>
  <c r="AT44" i="2"/>
  <c r="AV44" i="2"/>
  <c r="AX44" i="2"/>
  <c r="AW43" i="2"/>
  <c r="AZ43" i="2"/>
  <c r="AY44" i="2"/>
  <c r="BA44" i="2"/>
  <c r="V45" i="2"/>
  <c r="AK45" i="2"/>
  <c r="AH45" i="2"/>
  <c r="Y45" i="2"/>
  <c r="Z45" i="2"/>
  <c r="AA45" i="2"/>
  <c r="AB45" i="2"/>
  <c r="X45" i="2"/>
  <c r="W45" i="2"/>
  <c r="AL45" i="2"/>
  <c r="AD45" i="2"/>
  <c r="AC45" i="2"/>
  <c r="AE45" i="2"/>
  <c r="AM45" i="2"/>
  <c r="AN45" i="2"/>
  <c r="P45" i="2"/>
  <c r="Q45" i="2"/>
  <c r="G45" i="2"/>
  <c r="J45" i="2"/>
  <c r="F45" i="2"/>
  <c r="I45" i="2"/>
  <c r="S45" i="2"/>
  <c r="M45" i="2"/>
  <c r="L45" i="2"/>
  <c r="K45" i="2"/>
  <c r="R45" i="2"/>
  <c r="T45" i="2"/>
  <c r="AO45" i="2"/>
  <c r="AU45" i="2"/>
  <c r="AT45" i="2"/>
  <c r="AV45" i="2"/>
  <c r="AX45" i="2"/>
  <c r="AW44" i="2"/>
  <c r="AZ44" i="2"/>
  <c r="AY45" i="2"/>
  <c r="BA45" i="2"/>
  <c r="V46" i="2"/>
  <c r="AK46" i="2"/>
  <c r="AH46" i="2"/>
  <c r="Y46" i="2"/>
  <c r="Z46" i="2"/>
  <c r="AA46" i="2"/>
  <c r="AB46" i="2"/>
  <c r="X46" i="2"/>
  <c r="W46" i="2"/>
  <c r="AL46" i="2"/>
  <c r="AD46" i="2"/>
  <c r="AC46" i="2"/>
  <c r="AE46" i="2"/>
  <c r="AM46" i="2"/>
  <c r="AN46" i="2"/>
  <c r="P46" i="2"/>
  <c r="Q46" i="2"/>
  <c r="G46" i="2"/>
  <c r="J46" i="2"/>
  <c r="F46" i="2"/>
  <c r="I46" i="2"/>
  <c r="S46" i="2"/>
  <c r="M46" i="2"/>
  <c r="L46" i="2"/>
  <c r="K46" i="2"/>
  <c r="R46" i="2"/>
  <c r="T46" i="2"/>
  <c r="AO46" i="2"/>
  <c r="AU46" i="2"/>
  <c r="AT46" i="2"/>
  <c r="AV46" i="2"/>
  <c r="AX46" i="2"/>
  <c r="AW45" i="2"/>
  <c r="AZ45" i="2"/>
  <c r="AY46" i="2"/>
  <c r="BA46" i="2"/>
  <c r="V47" i="2"/>
  <c r="AK47" i="2"/>
  <c r="AH47" i="2"/>
  <c r="Y47" i="2"/>
  <c r="Z47" i="2"/>
  <c r="AA47" i="2"/>
  <c r="AB47" i="2"/>
  <c r="X47" i="2"/>
  <c r="W47" i="2"/>
  <c r="AL47" i="2"/>
  <c r="AD47" i="2"/>
  <c r="AC47" i="2"/>
  <c r="AE47" i="2"/>
  <c r="AM47" i="2"/>
  <c r="AN47" i="2"/>
  <c r="P47" i="2"/>
  <c r="Q47" i="2"/>
  <c r="G47" i="2"/>
  <c r="J47" i="2"/>
  <c r="F47" i="2"/>
  <c r="I47" i="2"/>
  <c r="S47" i="2"/>
  <c r="M47" i="2"/>
  <c r="L47" i="2"/>
  <c r="K47" i="2"/>
  <c r="R47" i="2"/>
  <c r="T47" i="2"/>
  <c r="AO47" i="2"/>
  <c r="AU47" i="2"/>
  <c r="AT47" i="2"/>
  <c r="AV47" i="2"/>
  <c r="AX47" i="2"/>
  <c r="AW46" i="2"/>
  <c r="AZ46" i="2"/>
  <c r="AY47" i="2"/>
  <c r="BA47" i="2"/>
  <c r="V48" i="2"/>
  <c r="AK48" i="2"/>
  <c r="AH48" i="2"/>
  <c r="Y48" i="2"/>
  <c r="Z48" i="2"/>
  <c r="AA48" i="2"/>
  <c r="AB48" i="2"/>
  <c r="X48" i="2"/>
  <c r="W48" i="2"/>
  <c r="AL48" i="2"/>
  <c r="AD48" i="2"/>
  <c r="AC48" i="2"/>
  <c r="AE48" i="2"/>
  <c r="AM48" i="2"/>
  <c r="AN48" i="2"/>
  <c r="P48" i="2"/>
  <c r="Q48" i="2"/>
  <c r="G48" i="2"/>
  <c r="J48" i="2"/>
  <c r="F48" i="2"/>
  <c r="I48" i="2"/>
  <c r="S48" i="2"/>
  <c r="M48" i="2"/>
  <c r="L48" i="2"/>
  <c r="K48" i="2"/>
  <c r="R48" i="2"/>
  <c r="T48" i="2"/>
  <c r="AO48" i="2"/>
  <c r="AU48" i="2"/>
  <c r="AT48" i="2"/>
  <c r="AV48" i="2"/>
  <c r="AX48" i="2"/>
  <c r="AW47" i="2"/>
  <c r="AZ47" i="2"/>
  <c r="AY48" i="2"/>
  <c r="BA48" i="2"/>
  <c r="V49" i="2"/>
  <c r="AK49" i="2"/>
  <c r="AH49" i="2"/>
  <c r="Y49" i="2"/>
  <c r="Z49" i="2"/>
  <c r="AA49" i="2"/>
  <c r="AB49" i="2"/>
  <c r="X49" i="2"/>
  <c r="W49" i="2"/>
  <c r="AL49" i="2"/>
  <c r="AD49" i="2"/>
  <c r="AC49" i="2"/>
  <c r="AE49" i="2"/>
  <c r="AM49" i="2"/>
  <c r="AN49" i="2"/>
  <c r="P49" i="2"/>
  <c r="Q49" i="2"/>
  <c r="G49" i="2"/>
  <c r="J49" i="2"/>
  <c r="F49" i="2"/>
  <c r="I49" i="2"/>
  <c r="S49" i="2"/>
  <c r="M49" i="2"/>
  <c r="L49" i="2"/>
  <c r="K49" i="2"/>
  <c r="R49" i="2"/>
  <c r="T49" i="2"/>
  <c r="AO49" i="2"/>
  <c r="AU49" i="2"/>
  <c r="AT49" i="2"/>
  <c r="AV49" i="2"/>
  <c r="AX49" i="2"/>
  <c r="AW48" i="2"/>
  <c r="AZ48" i="2"/>
  <c r="AY49" i="2"/>
  <c r="BA49" i="2"/>
  <c r="V50" i="2"/>
  <c r="AK50" i="2"/>
  <c r="AH50" i="2"/>
  <c r="Y50" i="2"/>
  <c r="Z50" i="2"/>
  <c r="AA50" i="2"/>
  <c r="AB50" i="2"/>
  <c r="X50" i="2"/>
  <c r="W50" i="2"/>
  <c r="AL50" i="2"/>
  <c r="AD50" i="2"/>
  <c r="AC50" i="2"/>
  <c r="AE50" i="2"/>
  <c r="AM50" i="2"/>
  <c r="AN50" i="2"/>
  <c r="P50" i="2"/>
  <c r="Q50" i="2"/>
  <c r="G50" i="2"/>
  <c r="J50" i="2"/>
  <c r="F50" i="2"/>
  <c r="I50" i="2"/>
  <c r="S50" i="2"/>
  <c r="M50" i="2"/>
  <c r="L50" i="2"/>
  <c r="K50" i="2"/>
  <c r="R50" i="2"/>
  <c r="T50" i="2"/>
  <c r="AO50" i="2"/>
  <c r="AU50" i="2"/>
  <c r="AT50" i="2"/>
  <c r="AV50" i="2"/>
  <c r="AX50" i="2"/>
  <c r="AW49" i="2"/>
  <c r="AZ49" i="2"/>
  <c r="AY50" i="2"/>
  <c r="BA50" i="2"/>
  <c r="V51" i="2"/>
  <c r="AK51" i="2"/>
  <c r="AH51" i="2"/>
  <c r="Y51" i="2"/>
  <c r="Z51" i="2"/>
  <c r="AA51" i="2"/>
  <c r="AB51" i="2"/>
  <c r="X51" i="2"/>
  <c r="W51" i="2"/>
  <c r="AL51" i="2"/>
  <c r="AD51" i="2"/>
  <c r="AC51" i="2"/>
  <c r="AE51" i="2"/>
  <c r="AM51" i="2"/>
  <c r="AN51" i="2"/>
  <c r="P51" i="2"/>
  <c r="Q51" i="2"/>
  <c r="G51" i="2"/>
  <c r="J51" i="2"/>
  <c r="F51" i="2"/>
  <c r="I51" i="2"/>
  <c r="S51" i="2"/>
  <c r="M51" i="2"/>
  <c r="L51" i="2"/>
  <c r="K51" i="2"/>
  <c r="R51" i="2"/>
  <c r="T51" i="2"/>
  <c r="AO51" i="2"/>
  <c r="AU51" i="2"/>
  <c r="AT51" i="2"/>
  <c r="AV51" i="2"/>
  <c r="AX51" i="2"/>
  <c r="AW50" i="2"/>
  <c r="AZ50" i="2"/>
  <c r="AY51" i="2"/>
  <c r="BA51" i="2"/>
  <c r="AK52" i="2"/>
  <c r="AH52" i="2"/>
  <c r="Y52" i="2"/>
  <c r="Z52" i="2"/>
  <c r="AA52" i="2"/>
  <c r="AB52" i="2"/>
  <c r="X52" i="2"/>
  <c r="W52" i="2"/>
  <c r="AL52" i="2"/>
  <c r="AD52" i="2"/>
  <c r="AC52" i="2"/>
  <c r="AE52" i="2"/>
  <c r="AM52" i="2"/>
  <c r="AN52" i="2"/>
  <c r="P52" i="2"/>
  <c r="Q52" i="2"/>
  <c r="G52" i="2"/>
  <c r="J52" i="2"/>
  <c r="F52" i="2"/>
  <c r="I52" i="2"/>
  <c r="S52" i="2"/>
  <c r="M52" i="2"/>
  <c r="L52" i="2"/>
  <c r="K52" i="2"/>
  <c r="R52" i="2"/>
  <c r="T52" i="2"/>
  <c r="AO52" i="2"/>
  <c r="AU52" i="2"/>
  <c r="AT52" i="2"/>
  <c r="AV52" i="2"/>
  <c r="AX52" i="2"/>
  <c r="AW51" i="2"/>
  <c r="AZ51" i="2"/>
  <c r="AY52" i="2"/>
  <c r="BA52" i="2"/>
  <c r="AK53" i="2"/>
  <c r="AH53" i="2"/>
  <c r="Y53" i="2"/>
  <c r="Z53" i="2"/>
  <c r="AA53" i="2"/>
  <c r="AB53" i="2"/>
  <c r="X53" i="2"/>
  <c r="W53" i="2"/>
  <c r="AL53" i="2"/>
  <c r="AD53" i="2"/>
  <c r="V52" i="2"/>
  <c r="AC53" i="2"/>
  <c r="AE53" i="2"/>
  <c r="AM53" i="2"/>
  <c r="AN53" i="2"/>
  <c r="P53" i="2"/>
  <c r="Q53" i="2"/>
  <c r="G53" i="2"/>
  <c r="J53" i="2"/>
  <c r="F53" i="2"/>
  <c r="I53" i="2"/>
  <c r="S53" i="2"/>
  <c r="M53" i="2"/>
  <c r="L53" i="2"/>
  <c r="K53" i="2"/>
  <c r="R53" i="2"/>
  <c r="T53" i="2"/>
  <c r="AO53" i="2"/>
  <c r="AU53" i="2"/>
  <c r="AV53" i="2"/>
  <c r="AX53" i="2"/>
  <c r="AW52" i="2"/>
  <c r="AZ52" i="2"/>
  <c r="AY53" i="2"/>
  <c r="BA53" i="2"/>
  <c r="AK54" i="2"/>
  <c r="AH54" i="2"/>
  <c r="Y54" i="2"/>
  <c r="Z54" i="2"/>
  <c r="AA54" i="2"/>
  <c r="AB54" i="2"/>
  <c r="E67" i="5"/>
  <c r="X54" i="2"/>
  <c r="W54" i="2"/>
  <c r="AL54" i="2"/>
  <c r="AD54" i="2"/>
  <c r="AC54" i="2"/>
  <c r="AE54" i="2"/>
  <c r="AM54" i="2"/>
  <c r="AN54" i="2"/>
  <c r="P54" i="2"/>
  <c r="Q54" i="2"/>
  <c r="G54" i="2"/>
  <c r="J54" i="2"/>
  <c r="F54" i="2"/>
  <c r="I54" i="2"/>
  <c r="S54" i="2"/>
  <c r="M54" i="2"/>
  <c r="L54" i="2"/>
  <c r="K54" i="2"/>
  <c r="R54" i="2"/>
  <c r="T54" i="2"/>
  <c r="AO54" i="2"/>
  <c r="AU54" i="2"/>
  <c r="AV54" i="2"/>
  <c r="V53" i="2"/>
  <c r="AX54" i="2"/>
  <c r="AW53" i="2"/>
  <c r="AZ53" i="2"/>
  <c r="AY54" i="2"/>
  <c r="BA54" i="2"/>
  <c r="AK55" i="2"/>
  <c r="AH55" i="2"/>
  <c r="Y55" i="2"/>
  <c r="Z55" i="2"/>
  <c r="AA55" i="2"/>
  <c r="AB55" i="2"/>
  <c r="X55" i="2"/>
  <c r="W55" i="2"/>
  <c r="AL55" i="2"/>
  <c r="F71" i="5"/>
  <c r="F72" i="5"/>
  <c r="E72" i="5"/>
  <c r="G74" i="5"/>
  <c r="H122" i="5"/>
  <c r="H123" i="5"/>
  <c r="AD55" i="2"/>
  <c r="AC55" i="2"/>
  <c r="AE55" i="2"/>
  <c r="AM55" i="2"/>
  <c r="AN55" i="2"/>
  <c r="P55" i="2"/>
  <c r="Q55" i="2"/>
  <c r="G55" i="2"/>
  <c r="J55" i="2"/>
  <c r="F55" i="2"/>
  <c r="I55" i="2"/>
  <c r="S55" i="2"/>
  <c r="M55" i="2"/>
  <c r="L55" i="2"/>
  <c r="K55" i="2"/>
  <c r="R55" i="2"/>
  <c r="T55" i="2"/>
  <c r="AO55" i="2"/>
  <c r="AU55" i="2"/>
  <c r="AV55" i="2"/>
  <c r="V54" i="2"/>
  <c r="AX55" i="2"/>
  <c r="AW54" i="2"/>
  <c r="AZ54" i="2"/>
  <c r="AY55" i="2"/>
  <c r="BA55" i="2"/>
  <c r="AK56" i="2"/>
  <c r="AH56" i="2"/>
  <c r="Y56" i="2"/>
  <c r="Z56" i="2"/>
  <c r="AA56" i="2"/>
  <c r="AB56" i="2"/>
  <c r="X56" i="2"/>
  <c r="W56" i="2"/>
  <c r="AL56" i="2"/>
  <c r="AD56" i="2"/>
  <c r="AC56" i="2"/>
  <c r="AE56" i="2"/>
  <c r="AM56" i="2"/>
  <c r="AN56" i="2"/>
  <c r="P56" i="2"/>
  <c r="Q56" i="2"/>
  <c r="G56" i="2"/>
  <c r="J56" i="2"/>
  <c r="F56" i="2"/>
  <c r="I56" i="2"/>
  <c r="S56" i="2"/>
  <c r="M56" i="2"/>
  <c r="L56" i="2"/>
  <c r="K56" i="2"/>
  <c r="R56" i="2"/>
  <c r="T56" i="2"/>
  <c r="AO56" i="2"/>
  <c r="AU56" i="2"/>
  <c r="AV56" i="2"/>
  <c r="V55" i="2"/>
  <c r="AX56" i="2"/>
  <c r="AW55" i="2"/>
  <c r="AZ55" i="2"/>
  <c r="AY56" i="2"/>
  <c r="BA56" i="2"/>
  <c r="AK57" i="2"/>
  <c r="AH57" i="2"/>
  <c r="Y57" i="2"/>
  <c r="Z57" i="2"/>
  <c r="AA57" i="2"/>
  <c r="AB57" i="2"/>
  <c r="X57" i="2"/>
  <c r="W57" i="2"/>
  <c r="AL57" i="2"/>
  <c r="AD57" i="2"/>
  <c r="AC57" i="2"/>
  <c r="AE57" i="2"/>
  <c r="AM57" i="2"/>
  <c r="AN57" i="2"/>
  <c r="P57" i="2"/>
  <c r="Q57" i="2"/>
  <c r="G57" i="2"/>
  <c r="J57" i="2"/>
  <c r="F57" i="2"/>
  <c r="I57" i="2"/>
  <c r="S57" i="2"/>
  <c r="M57" i="2"/>
  <c r="L57" i="2"/>
  <c r="K57" i="2"/>
  <c r="R57" i="2"/>
  <c r="T57" i="2"/>
  <c r="AO57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U74" i="2"/>
  <c r="AV74" i="2"/>
  <c r="AU75" i="2"/>
  <c r="AV75" i="2"/>
  <c r="AU76" i="2"/>
  <c r="AV76" i="2"/>
  <c r="AU77" i="2"/>
  <c r="AV77" i="2"/>
  <c r="AU78" i="2"/>
  <c r="AV78" i="2"/>
  <c r="AU79" i="2"/>
  <c r="AV79" i="2"/>
  <c r="AU80" i="2"/>
  <c r="AV80" i="2"/>
  <c r="AU81" i="2"/>
  <c r="AV81" i="2"/>
  <c r="AU82" i="2"/>
  <c r="AV82" i="2"/>
  <c r="AU83" i="2"/>
  <c r="AV83" i="2"/>
  <c r="AU84" i="2"/>
  <c r="AV84" i="2"/>
  <c r="AU85" i="2"/>
  <c r="AV85" i="2"/>
  <c r="AU86" i="2"/>
  <c r="AV86" i="2"/>
  <c r="AU87" i="2"/>
  <c r="AV87" i="2"/>
  <c r="AU88" i="2"/>
  <c r="AV88" i="2"/>
  <c r="AU89" i="2"/>
  <c r="AV89" i="2"/>
  <c r="AU90" i="2"/>
  <c r="AV90" i="2"/>
  <c r="AU91" i="2"/>
  <c r="AV91" i="2"/>
  <c r="AU92" i="2"/>
  <c r="AV92" i="2"/>
  <c r="AU93" i="2"/>
  <c r="AV93" i="2"/>
  <c r="AU94" i="2"/>
  <c r="AV94" i="2"/>
  <c r="AU95" i="2"/>
  <c r="AV95" i="2"/>
  <c r="AU96" i="2"/>
  <c r="AV96" i="2"/>
  <c r="AU97" i="2"/>
  <c r="AV97" i="2"/>
  <c r="AU98" i="2"/>
  <c r="AV98" i="2"/>
  <c r="AU99" i="2"/>
  <c r="AV99" i="2"/>
  <c r="AU100" i="2"/>
  <c r="AV100" i="2"/>
  <c r="AU101" i="2"/>
  <c r="AV101" i="2"/>
  <c r="AU102" i="2"/>
  <c r="AV102" i="2"/>
  <c r="AU103" i="2"/>
  <c r="AV103" i="2"/>
  <c r="AU104" i="2"/>
  <c r="AV104" i="2"/>
  <c r="AU105" i="2"/>
  <c r="AV105" i="2"/>
  <c r="AU106" i="2"/>
  <c r="AV106" i="2"/>
  <c r="AU107" i="2"/>
  <c r="AV107" i="2"/>
  <c r="AU108" i="2"/>
  <c r="AV108" i="2"/>
  <c r="AU109" i="2"/>
  <c r="AV109" i="2"/>
  <c r="AU110" i="2"/>
  <c r="AV110" i="2"/>
  <c r="AU111" i="2"/>
  <c r="AV111" i="2"/>
  <c r="AU112" i="2"/>
  <c r="AV112" i="2"/>
  <c r="AU113" i="2"/>
  <c r="AV113" i="2"/>
  <c r="AU114" i="2"/>
  <c r="AV114" i="2"/>
  <c r="AU115" i="2"/>
  <c r="AV115" i="2"/>
  <c r="AU116" i="2"/>
  <c r="AV116" i="2"/>
  <c r="AU117" i="2"/>
  <c r="AV117" i="2"/>
  <c r="AU118" i="2"/>
  <c r="AV118" i="2"/>
  <c r="AU119" i="2"/>
  <c r="AV119" i="2"/>
  <c r="AU120" i="2"/>
  <c r="AV120" i="2"/>
  <c r="AU121" i="2"/>
  <c r="AV121" i="2"/>
  <c r="AU122" i="2"/>
  <c r="AV122" i="2"/>
  <c r="AU123" i="2"/>
  <c r="AV123" i="2"/>
  <c r="AU124" i="2"/>
  <c r="AV124" i="2"/>
  <c r="AU125" i="2"/>
  <c r="AV125" i="2"/>
  <c r="AU126" i="2"/>
  <c r="AV126" i="2"/>
  <c r="AU127" i="2"/>
  <c r="AV127" i="2"/>
  <c r="AU128" i="2"/>
  <c r="AV128" i="2"/>
  <c r="AU129" i="2"/>
  <c r="AV129" i="2"/>
  <c r="AU130" i="2"/>
  <c r="AV130" i="2"/>
  <c r="AU131" i="2"/>
  <c r="AV131" i="2"/>
  <c r="AU132" i="2"/>
  <c r="AV132" i="2"/>
  <c r="AU133" i="2"/>
  <c r="AV133" i="2"/>
  <c r="AU134" i="2"/>
  <c r="AV134" i="2"/>
  <c r="AU135" i="2"/>
  <c r="AV135" i="2"/>
  <c r="AU136" i="2"/>
  <c r="AV136" i="2"/>
  <c r="AU137" i="2"/>
  <c r="AV137" i="2"/>
  <c r="AU138" i="2"/>
  <c r="AV138" i="2"/>
  <c r="AU139" i="2"/>
  <c r="AV139" i="2"/>
  <c r="AU140" i="2"/>
  <c r="AV140" i="2"/>
  <c r="AU141" i="2"/>
  <c r="AV141" i="2"/>
  <c r="AU142" i="2"/>
  <c r="AV142" i="2"/>
  <c r="AU143" i="2"/>
  <c r="AV143" i="2"/>
  <c r="AU144" i="2"/>
  <c r="AV144" i="2"/>
  <c r="AU145" i="2"/>
  <c r="AV145" i="2"/>
  <c r="AU146" i="2"/>
  <c r="AV146" i="2"/>
  <c r="AU147" i="2"/>
  <c r="AV147" i="2"/>
  <c r="AU148" i="2"/>
  <c r="AV148" i="2"/>
  <c r="AU149" i="2"/>
  <c r="AV149" i="2"/>
  <c r="AU150" i="2"/>
  <c r="AV150" i="2"/>
  <c r="AU151" i="2"/>
  <c r="AV151" i="2"/>
  <c r="AU152" i="2"/>
  <c r="AV152" i="2"/>
  <c r="AU153" i="2"/>
  <c r="AV153" i="2"/>
  <c r="AU154" i="2"/>
  <c r="AV154" i="2"/>
  <c r="AU155" i="2"/>
  <c r="AV155" i="2"/>
  <c r="AU156" i="2"/>
  <c r="AV156" i="2"/>
  <c r="AU157" i="2"/>
  <c r="AV157" i="2"/>
  <c r="AU158" i="2"/>
  <c r="AV158" i="2"/>
  <c r="AU159" i="2"/>
  <c r="AV159" i="2"/>
  <c r="AU160" i="2"/>
  <c r="AV160" i="2"/>
  <c r="AU161" i="2"/>
  <c r="AV161" i="2"/>
  <c r="AU162" i="2"/>
  <c r="AV162" i="2"/>
  <c r="AU163" i="2"/>
  <c r="AV163" i="2"/>
  <c r="AU164" i="2"/>
  <c r="AV164" i="2"/>
  <c r="AU165" i="2"/>
  <c r="AV165" i="2"/>
  <c r="AU166" i="2"/>
  <c r="AV166" i="2"/>
  <c r="AU167" i="2"/>
  <c r="AV167" i="2"/>
  <c r="AU168" i="2"/>
  <c r="AV168" i="2"/>
  <c r="AU169" i="2"/>
  <c r="AV169" i="2"/>
  <c r="AU170" i="2"/>
  <c r="AV170" i="2"/>
  <c r="AU171" i="2"/>
  <c r="AV171" i="2"/>
  <c r="AU172" i="2"/>
  <c r="AV172" i="2"/>
  <c r="AU173" i="2"/>
  <c r="AV173" i="2"/>
  <c r="AU174" i="2"/>
  <c r="AV174" i="2"/>
  <c r="AU175" i="2"/>
  <c r="AV175" i="2"/>
  <c r="AU176" i="2"/>
  <c r="AV176" i="2"/>
  <c r="AU177" i="2"/>
  <c r="AV177" i="2"/>
  <c r="AU178" i="2"/>
  <c r="AV178" i="2"/>
  <c r="AU179" i="2"/>
  <c r="AV179" i="2"/>
  <c r="AU180" i="2"/>
  <c r="AV180" i="2"/>
  <c r="AU181" i="2"/>
  <c r="AV181" i="2"/>
  <c r="AU182" i="2"/>
  <c r="AV182" i="2"/>
  <c r="AU183" i="2"/>
  <c r="AV183" i="2"/>
  <c r="AU184" i="2"/>
  <c r="AV184" i="2"/>
  <c r="AU185" i="2"/>
  <c r="AV185" i="2"/>
  <c r="AU186" i="2"/>
  <c r="AV186" i="2"/>
  <c r="AU187" i="2"/>
  <c r="AV187" i="2"/>
  <c r="AU188" i="2"/>
  <c r="AV188" i="2"/>
  <c r="AU189" i="2"/>
  <c r="AV189" i="2"/>
  <c r="AU190" i="2"/>
  <c r="AV190" i="2"/>
  <c r="AU191" i="2"/>
  <c r="AV191" i="2"/>
  <c r="AU192" i="2"/>
  <c r="AV192" i="2"/>
  <c r="AU193" i="2"/>
  <c r="AV193" i="2"/>
  <c r="AU194" i="2"/>
  <c r="AV194" i="2"/>
  <c r="AU195" i="2"/>
  <c r="AV195" i="2"/>
  <c r="AU196" i="2"/>
  <c r="AV196" i="2"/>
  <c r="AU197" i="2"/>
  <c r="AV197" i="2"/>
  <c r="AU198" i="2"/>
  <c r="AV198" i="2"/>
  <c r="AU199" i="2"/>
  <c r="AV199" i="2"/>
  <c r="AU200" i="2"/>
  <c r="AV200" i="2"/>
  <c r="AU201" i="2"/>
  <c r="AV201" i="2"/>
  <c r="AU202" i="2"/>
  <c r="AV202" i="2"/>
  <c r="AU203" i="2"/>
  <c r="AV203" i="2"/>
  <c r="AU204" i="2"/>
  <c r="AV204" i="2"/>
  <c r="AU205" i="2"/>
  <c r="AV205" i="2"/>
  <c r="AU206" i="2"/>
  <c r="AV206" i="2"/>
  <c r="AU207" i="2"/>
  <c r="AV207" i="2"/>
  <c r="AU208" i="2"/>
  <c r="AV208" i="2"/>
  <c r="AU209" i="2"/>
  <c r="AV209" i="2"/>
  <c r="AU210" i="2"/>
  <c r="AV210" i="2"/>
  <c r="AU211" i="2"/>
  <c r="AV211" i="2"/>
  <c r="AU212" i="2"/>
  <c r="AV212" i="2"/>
  <c r="AU213" i="2"/>
  <c r="AV213" i="2"/>
  <c r="AU214" i="2"/>
  <c r="AV214" i="2"/>
  <c r="AU215" i="2"/>
  <c r="AV215" i="2"/>
  <c r="AU216" i="2"/>
  <c r="AV216" i="2"/>
  <c r="AU217" i="2"/>
  <c r="AV217" i="2"/>
  <c r="AU218" i="2"/>
  <c r="AV218" i="2"/>
  <c r="AU219" i="2"/>
  <c r="AV219" i="2"/>
  <c r="AU220" i="2"/>
  <c r="AV220" i="2"/>
  <c r="AU221" i="2"/>
  <c r="AV221" i="2"/>
  <c r="AU222" i="2"/>
  <c r="AV222" i="2"/>
  <c r="AU223" i="2"/>
  <c r="AV223" i="2"/>
  <c r="AU224" i="2"/>
  <c r="AV224" i="2"/>
  <c r="AU225" i="2"/>
  <c r="AV225" i="2"/>
  <c r="AU226" i="2"/>
  <c r="AV226" i="2"/>
  <c r="AU227" i="2"/>
  <c r="AV227" i="2"/>
  <c r="AU228" i="2"/>
  <c r="AV228" i="2"/>
  <c r="AU229" i="2"/>
  <c r="AV229" i="2"/>
  <c r="AU230" i="2"/>
  <c r="AV230" i="2"/>
  <c r="AU231" i="2"/>
  <c r="AV231" i="2"/>
  <c r="AU232" i="2"/>
  <c r="AV232" i="2"/>
  <c r="AU233" i="2"/>
  <c r="AV233" i="2"/>
  <c r="AU234" i="2"/>
  <c r="AV234" i="2"/>
  <c r="AU235" i="2"/>
  <c r="AV235" i="2"/>
  <c r="AU236" i="2"/>
  <c r="AV236" i="2"/>
  <c r="AU237" i="2"/>
  <c r="AV237" i="2"/>
  <c r="AU238" i="2"/>
  <c r="AV238" i="2"/>
  <c r="AU239" i="2"/>
  <c r="AV239" i="2"/>
  <c r="AU240" i="2"/>
  <c r="AV240" i="2"/>
  <c r="AU241" i="2"/>
  <c r="AV241" i="2"/>
  <c r="AU242" i="2"/>
  <c r="AV242" i="2"/>
  <c r="AU243" i="2"/>
  <c r="AV243" i="2"/>
  <c r="AU244" i="2"/>
  <c r="AV244" i="2"/>
  <c r="AU245" i="2"/>
  <c r="AV245" i="2"/>
  <c r="AU246" i="2"/>
  <c r="AV246" i="2"/>
  <c r="AU247" i="2"/>
  <c r="AV247" i="2"/>
  <c r="AU248" i="2"/>
  <c r="AV248" i="2"/>
  <c r="AU249" i="2"/>
  <c r="AV249" i="2"/>
  <c r="AU250" i="2"/>
  <c r="AV250" i="2"/>
  <c r="AU251" i="2"/>
  <c r="AV251" i="2"/>
  <c r="AU252" i="2"/>
  <c r="AV252" i="2"/>
  <c r="AU253" i="2"/>
  <c r="AV253" i="2"/>
  <c r="AU254" i="2"/>
  <c r="AV254" i="2"/>
  <c r="AU255" i="2"/>
  <c r="AV255" i="2"/>
  <c r="AU256" i="2"/>
  <c r="AV256" i="2"/>
  <c r="AU257" i="2"/>
  <c r="AV257" i="2"/>
  <c r="AU258" i="2"/>
  <c r="AV258" i="2"/>
  <c r="AU259" i="2"/>
  <c r="AV259" i="2"/>
  <c r="AU260" i="2"/>
  <c r="AV260" i="2"/>
  <c r="AU261" i="2"/>
  <c r="AV261" i="2"/>
  <c r="AU262" i="2"/>
  <c r="AV262" i="2"/>
  <c r="AU263" i="2"/>
  <c r="AV263" i="2"/>
  <c r="AU264" i="2"/>
  <c r="AV264" i="2"/>
  <c r="AU265" i="2"/>
  <c r="AV265" i="2"/>
  <c r="AU266" i="2"/>
  <c r="AV266" i="2"/>
  <c r="AU267" i="2"/>
  <c r="AV267" i="2"/>
  <c r="AU268" i="2"/>
  <c r="AV268" i="2"/>
  <c r="AU269" i="2"/>
  <c r="AV269" i="2"/>
  <c r="AU270" i="2"/>
  <c r="AV270" i="2"/>
  <c r="AU271" i="2"/>
  <c r="AV271" i="2"/>
  <c r="AU272" i="2"/>
  <c r="AV272" i="2"/>
  <c r="AU273" i="2"/>
  <c r="AV273" i="2"/>
  <c r="AU274" i="2"/>
  <c r="AV274" i="2"/>
  <c r="AU275" i="2"/>
  <c r="AV275" i="2"/>
  <c r="AU276" i="2"/>
  <c r="AV276" i="2"/>
  <c r="AU277" i="2"/>
  <c r="AV277" i="2"/>
  <c r="AU278" i="2"/>
  <c r="AV278" i="2"/>
  <c r="AU279" i="2"/>
  <c r="AV279" i="2"/>
  <c r="AU280" i="2"/>
  <c r="AV280" i="2"/>
  <c r="AU281" i="2"/>
  <c r="AV281" i="2"/>
  <c r="AU282" i="2"/>
  <c r="AV282" i="2"/>
  <c r="AU283" i="2"/>
  <c r="AV283" i="2"/>
  <c r="AU284" i="2"/>
  <c r="AV284" i="2"/>
  <c r="AU285" i="2"/>
  <c r="AV285" i="2"/>
  <c r="AU286" i="2"/>
  <c r="AV286" i="2"/>
  <c r="AU287" i="2"/>
  <c r="AV287" i="2"/>
  <c r="AU288" i="2"/>
  <c r="AV288" i="2"/>
  <c r="AU289" i="2"/>
  <c r="AV289" i="2"/>
  <c r="AU290" i="2"/>
  <c r="AV290" i="2"/>
  <c r="AU291" i="2"/>
  <c r="AV291" i="2"/>
  <c r="AU292" i="2"/>
  <c r="AV292" i="2"/>
  <c r="AU293" i="2"/>
  <c r="AV293" i="2"/>
  <c r="AU294" i="2"/>
  <c r="AV294" i="2"/>
  <c r="AU295" i="2"/>
  <c r="AV295" i="2"/>
  <c r="AU296" i="2"/>
  <c r="AV296" i="2"/>
  <c r="AU297" i="2"/>
  <c r="AV297" i="2"/>
  <c r="AU298" i="2"/>
  <c r="AV298" i="2"/>
  <c r="AU299" i="2"/>
  <c r="AV299" i="2"/>
  <c r="AU300" i="2"/>
  <c r="AV300" i="2"/>
  <c r="AU301" i="2"/>
  <c r="AV301" i="2"/>
  <c r="AU302" i="2"/>
  <c r="AV302" i="2"/>
  <c r="AU303" i="2"/>
  <c r="AV303" i="2"/>
  <c r="AU304" i="2"/>
  <c r="AV304" i="2"/>
  <c r="AU305" i="2"/>
  <c r="AV305" i="2"/>
  <c r="AU306" i="2"/>
  <c r="AV306" i="2"/>
  <c r="AU307" i="2"/>
  <c r="AV307" i="2"/>
  <c r="AU308" i="2"/>
  <c r="AV308" i="2"/>
  <c r="AU309" i="2"/>
  <c r="AV309" i="2"/>
  <c r="AU310" i="2"/>
  <c r="AV310" i="2"/>
  <c r="AU311" i="2"/>
  <c r="AV311" i="2"/>
  <c r="AU312" i="2"/>
  <c r="AV312" i="2"/>
  <c r="AU313" i="2"/>
  <c r="AV313" i="2"/>
  <c r="AU314" i="2"/>
  <c r="AV314" i="2"/>
  <c r="AU315" i="2"/>
  <c r="AV315" i="2"/>
  <c r="AU316" i="2"/>
  <c r="AV316" i="2"/>
  <c r="AU317" i="2"/>
  <c r="AV317" i="2"/>
  <c r="AU318" i="2"/>
  <c r="AV318" i="2"/>
  <c r="AU319" i="2"/>
  <c r="AV319" i="2"/>
  <c r="AU320" i="2"/>
  <c r="AV320" i="2"/>
  <c r="AU321" i="2"/>
  <c r="AV321" i="2"/>
  <c r="AU322" i="2"/>
  <c r="AV322" i="2"/>
  <c r="AU323" i="2"/>
  <c r="AV323" i="2"/>
  <c r="AU324" i="2"/>
  <c r="AV324" i="2"/>
  <c r="AU325" i="2"/>
  <c r="AV325" i="2"/>
  <c r="AU326" i="2"/>
  <c r="AV326" i="2"/>
  <c r="AU327" i="2"/>
  <c r="AV327" i="2"/>
  <c r="AU328" i="2"/>
  <c r="AV328" i="2"/>
  <c r="AU329" i="2"/>
  <c r="AV329" i="2"/>
  <c r="AU330" i="2"/>
  <c r="AV330" i="2"/>
  <c r="AU331" i="2"/>
  <c r="AV331" i="2"/>
  <c r="AU332" i="2"/>
  <c r="AV332" i="2"/>
  <c r="AU333" i="2"/>
  <c r="AV333" i="2"/>
  <c r="AU334" i="2"/>
  <c r="AV334" i="2"/>
  <c r="AU335" i="2"/>
  <c r="AV335" i="2"/>
  <c r="AU336" i="2"/>
  <c r="AV336" i="2"/>
  <c r="AU337" i="2"/>
  <c r="AV337" i="2"/>
  <c r="AU338" i="2"/>
  <c r="AV338" i="2"/>
  <c r="AU339" i="2"/>
  <c r="AV339" i="2"/>
  <c r="AU340" i="2"/>
  <c r="AV340" i="2"/>
  <c r="AU341" i="2"/>
  <c r="AV341" i="2"/>
  <c r="AU342" i="2"/>
  <c r="AV342" i="2"/>
  <c r="AU343" i="2"/>
  <c r="AV343" i="2"/>
  <c r="AU344" i="2"/>
  <c r="AV344" i="2"/>
  <c r="AU345" i="2"/>
  <c r="AV345" i="2"/>
  <c r="AU346" i="2"/>
  <c r="AV346" i="2"/>
  <c r="AU347" i="2"/>
  <c r="AV347" i="2"/>
  <c r="AU348" i="2"/>
  <c r="AV348" i="2"/>
  <c r="AU349" i="2"/>
  <c r="AV349" i="2"/>
  <c r="AU350" i="2"/>
  <c r="AV350" i="2"/>
  <c r="AU351" i="2"/>
  <c r="AV351" i="2"/>
  <c r="AU352" i="2"/>
  <c r="AV352" i="2"/>
  <c r="AU353" i="2"/>
  <c r="AV353" i="2"/>
  <c r="AU354" i="2"/>
  <c r="AV354" i="2"/>
  <c r="AU355" i="2"/>
  <c r="AV355" i="2"/>
  <c r="AU356" i="2"/>
  <c r="AV356" i="2"/>
  <c r="AU357" i="2"/>
  <c r="AV357" i="2"/>
  <c r="AU358" i="2"/>
  <c r="AV358" i="2"/>
  <c r="AU359" i="2"/>
  <c r="AV359" i="2"/>
  <c r="AU360" i="2"/>
  <c r="AV360" i="2"/>
  <c r="AU361" i="2"/>
  <c r="AV361" i="2"/>
  <c r="AU362" i="2"/>
  <c r="AV362" i="2"/>
  <c r="AU363" i="2"/>
  <c r="AV363" i="2"/>
  <c r="AU364" i="2"/>
  <c r="AV364" i="2"/>
  <c r="AU365" i="2"/>
  <c r="AV365" i="2"/>
  <c r="AU366" i="2"/>
  <c r="AV366" i="2"/>
  <c r="AU367" i="2"/>
  <c r="AV367" i="2"/>
  <c r="AU368" i="2"/>
  <c r="AV368" i="2"/>
  <c r="AU369" i="2"/>
  <c r="AV369" i="2"/>
  <c r="AU370" i="2"/>
  <c r="AV370" i="2"/>
  <c r="AU371" i="2"/>
  <c r="AV371" i="2"/>
  <c r="AU372" i="2"/>
  <c r="AV372" i="2"/>
  <c r="AU373" i="2"/>
  <c r="AV373" i="2"/>
  <c r="AU374" i="2"/>
  <c r="AV374" i="2"/>
  <c r="AU375" i="2"/>
  <c r="AV375" i="2"/>
  <c r="AU376" i="2"/>
  <c r="AV376" i="2"/>
  <c r="AU377" i="2"/>
  <c r="AV377" i="2"/>
  <c r="AU378" i="2"/>
  <c r="AV378" i="2"/>
  <c r="AU379" i="2"/>
  <c r="AV379" i="2"/>
  <c r="AU380" i="2"/>
  <c r="AV380" i="2"/>
  <c r="AU381" i="2"/>
  <c r="AV381" i="2"/>
  <c r="AU382" i="2"/>
  <c r="AV382" i="2"/>
  <c r="AU383" i="2"/>
  <c r="AV383" i="2"/>
  <c r="AU384" i="2"/>
  <c r="AV384" i="2"/>
  <c r="AU385" i="2"/>
  <c r="AV385" i="2"/>
  <c r="AU386" i="2"/>
  <c r="AV386" i="2"/>
  <c r="AU387" i="2"/>
  <c r="AV387" i="2"/>
  <c r="AU388" i="2"/>
  <c r="AV388" i="2"/>
  <c r="AU389" i="2"/>
  <c r="AV389" i="2"/>
  <c r="AU390" i="2"/>
  <c r="AV390" i="2"/>
  <c r="AU391" i="2"/>
  <c r="AV391" i="2"/>
  <c r="AU392" i="2"/>
  <c r="AV392" i="2"/>
  <c r="AU393" i="2"/>
  <c r="AV393" i="2"/>
  <c r="AU394" i="2"/>
  <c r="AV394" i="2"/>
  <c r="AU395" i="2"/>
  <c r="AV395" i="2"/>
  <c r="AU396" i="2"/>
  <c r="AV396" i="2"/>
  <c r="AU397" i="2"/>
  <c r="AV397" i="2"/>
  <c r="AU398" i="2"/>
  <c r="AV398" i="2"/>
  <c r="AU399" i="2"/>
  <c r="AV399" i="2"/>
  <c r="AU400" i="2"/>
  <c r="AV400" i="2"/>
  <c r="AU401" i="2"/>
  <c r="AV401" i="2"/>
  <c r="AU402" i="2"/>
  <c r="AV402" i="2"/>
  <c r="AU403" i="2"/>
  <c r="AV403" i="2"/>
  <c r="AU404" i="2"/>
  <c r="AV404" i="2"/>
  <c r="AU405" i="2"/>
  <c r="AV405" i="2"/>
  <c r="AU406" i="2"/>
  <c r="AV406" i="2"/>
  <c r="AU407" i="2"/>
  <c r="AV407" i="2"/>
  <c r="AU408" i="2"/>
  <c r="AV408" i="2"/>
  <c r="AU409" i="2"/>
  <c r="AV409" i="2"/>
  <c r="AU410" i="2"/>
  <c r="AV410" i="2"/>
  <c r="AU411" i="2"/>
  <c r="AV411" i="2"/>
  <c r="AU412" i="2"/>
  <c r="AV412" i="2"/>
  <c r="AU413" i="2"/>
  <c r="AV413" i="2"/>
  <c r="AU414" i="2"/>
  <c r="AV414" i="2"/>
  <c r="AU415" i="2"/>
  <c r="AV415" i="2"/>
  <c r="AU416" i="2"/>
  <c r="AV416" i="2"/>
  <c r="AU417" i="2"/>
  <c r="AV417" i="2"/>
  <c r="AU418" i="2"/>
  <c r="AV418" i="2"/>
  <c r="AU419" i="2"/>
  <c r="AV419" i="2"/>
  <c r="AU420" i="2"/>
  <c r="AV420" i="2"/>
  <c r="AU421" i="2"/>
  <c r="AV421" i="2"/>
  <c r="AU422" i="2"/>
  <c r="AV422" i="2"/>
  <c r="AU423" i="2"/>
  <c r="AV423" i="2"/>
  <c r="AU424" i="2"/>
  <c r="AV424" i="2"/>
  <c r="AU425" i="2"/>
  <c r="AV425" i="2"/>
  <c r="AU426" i="2"/>
  <c r="AV426" i="2"/>
  <c r="AU427" i="2"/>
  <c r="AV427" i="2"/>
  <c r="AU428" i="2"/>
  <c r="AV428" i="2"/>
  <c r="AU429" i="2"/>
  <c r="AV429" i="2"/>
  <c r="AU430" i="2"/>
  <c r="AV430" i="2"/>
  <c r="AU431" i="2"/>
  <c r="AV431" i="2"/>
  <c r="AU432" i="2"/>
  <c r="AV432" i="2"/>
  <c r="AU433" i="2"/>
  <c r="AV433" i="2"/>
  <c r="AU434" i="2"/>
  <c r="AV434" i="2"/>
  <c r="AU435" i="2"/>
  <c r="AV435" i="2"/>
  <c r="AU436" i="2"/>
  <c r="AV436" i="2"/>
  <c r="AU437" i="2"/>
  <c r="AV437" i="2"/>
  <c r="AU438" i="2"/>
  <c r="AV438" i="2"/>
  <c r="AU439" i="2"/>
  <c r="AV439" i="2"/>
  <c r="AU440" i="2"/>
  <c r="AV440" i="2"/>
  <c r="AU441" i="2"/>
  <c r="AV441" i="2"/>
  <c r="AU442" i="2"/>
  <c r="AV442" i="2"/>
  <c r="AU443" i="2"/>
  <c r="AV443" i="2"/>
  <c r="AU444" i="2"/>
  <c r="AV444" i="2"/>
  <c r="AU445" i="2"/>
  <c r="AV445" i="2"/>
  <c r="AU446" i="2"/>
  <c r="AV446" i="2"/>
  <c r="AU447" i="2"/>
  <c r="AV447" i="2"/>
  <c r="AU448" i="2"/>
  <c r="AV448" i="2"/>
  <c r="AU449" i="2"/>
  <c r="AV449" i="2"/>
  <c r="AU450" i="2"/>
  <c r="AV450" i="2"/>
  <c r="AU451" i="2"/>
  <c r="AV451" i="2"/>
  <c r="AU452" i="2"/>
  <c r="AV452" i="2"/>
  <c r="AU453" i="2"/>
  <c r="AV453" i="2"/>
  <c r="AU454" i="2"/>
  <c r="AV454" i="2"/>
  <c r="AU455" i="2"/>
  <c r="AV455" i="2"/>
  <c r="AU456" i="2"/>
  <c r="AV456" i="2"/>
  <c r="AU457" i="2"/>
  <c r="AV457" i="2"/>
  <c r="AU458" i="2"/>
  <c r="AV458" i="2"/>
  <c r="AU459" i="2"/>
  <c r="AV459" i="2"/>
  <c r="AU460" i="2"/>
  <c r="AV460" i="2"/>
  <c r="AU461" i="2"/>
  <c r="AV461" i="2"/>
  <c r="AU462" i="2"/>
  <c r="AV462" i="2"/>
  <c r="AU463" i="2"/>
  <c r="AV463" i="2"/>
  <c r="AU464" i="2"/>
  <c r="AV464" i="2"/>
  <c r="AU465" i="2"/>
  <c r="AV465" i="2"/>
  <c r="AU466" i="2"/>
  <c r="AV466" i="2"/>
  <c r="AU467" i="2"/>
  <c r="AV467" i="2"/>
  <c r="AU468" i="2"/>
  <c r="AV468" i="2"/>
  <c r="AU469" i="2"/>
  <c r="AV469" i="2"/>
  <c r="AU470" i="2"/>
  <c r="AV470" i="2"/>
  <c r="AU471" i="2"/>
  <c r="AV471" i="2"/>
  <c r="AU472" i="2"/>
  <c r="AV472" i="2"/>
  <c r="AU473" i="2"/>
  <c r="AV473" i="2"/>
  <c r="AU474" i="2"/>
  <c r="AV474" i="2"/>
  <c r="AU475" i="2"/>
  <c r="AV475" i="2"/>
  <c r="AU476" i="2"/>
  <c r="AV476" i="2"/>
  <c r="AU477" i="2"/>
  <c r="AV477" i="2"/>
  <c r="AU478" i="2"/>
  <c r="AV478" i="2"/>
  <c r="AU479" i="2"/>
  <c r="AV479" i="2"/>
  <c r="AU480" i="2"/>
  <c r="AV480" i="2"/>
  <c r="AU481" i="2"/>
  <c r="AV481" i="2"/>
  <c r="AU482" i="2"/>
  <c r="AV482" i="2"/>
  <c r="AU483" i="2"/>
  <c r="AV483" i="2"/>
  <c r="AU484" i="2"/>
  <c r="AV484" i="2"/>
  <c r="AU485" i="2"/>
  <c r="AV485" i="2"/>
  <c r="AU486" i="2"/>
  <c r="AV486" i="2"/>
  <c r="AU487" i="2"/>
  <c r="AV487" i="2"/>
  <c r="AU488" i="2"/>
  <c r="AV488" i="2"/>
  <c r="AU489" i="2"/>
  <c r="AV489" i="2"/>
  <c r="AU490" i="2"/>
  <c r="AV490" i="2"/>
  <c r="AU491" i="2"/>
  <c r="AV491" i="2"/>
  <c r="AU492" i="2"/>
  <c r="AV492" i="2"/>
  <c r="AU493" i="2"/>
  <c r="AV493" i="2"/>
  <c r="AU494" i="2"/>
  <c r="AV494" i="2"/>
  <c r="AU495" i="2"/>
  <c r="AV495" i="2"/>
  <c r="AU496" i="2"/>
  <c r="AV496" i="2"/>
  <c r="AU497" i="2"/>
  <c r="AV497" i="2"/>
  <c r="AU498" i="2"/>
  <c r="AV498" i="2"/>
  <c r="AU499" i="2"/>
  <c r="AV499" i="2"/>
  <c r="AU500" i="2"/>
  <c r="AV500" i="2"/>
  <c r="AU501" i="2"/>
  <c r="AV501" i="2"/>
  <c r="AV11" i="2"/>
  <c r="V56" i="2"/>
  <c r="AX57" i="2"/>
  <c r="AW56" i="2"/>
  <c r="AZ56" i="2"/>
  <c r="AY57" i="2"/>
  <c r="BA57" i="2"/>
  <c r="AK58" i="2"/>
  <c r="AH58" i="2"/>
  <c r="Y58" i="2"/>
  <c r="Z58" i="2"/>
  <c r="AA58" i="2"/>
  <c r="AB58" i="2"/>
  <c r="X58" i="2"/>
  <c r="W58" i="2"/>
  <c r="AL58" i="2"/>
  <c r="AD58" i="2"/>
  <c r="AC58" i="2"/>
  <c r="AE58" i="2"/>
  <c r="AM58" i="2"/>
  <c r="AN58" i="2"/>
  <c r="P58" i="2"/>
  <c r="Q58" i="2"/>
  <c r="G58" i="2"/>
  <c r="J58" i="2"/>
  <c r="F58" i="2"/>
  <c r="I58" i="2"/>
  <c r="S58" i="2"/>
  <c r="M58" i="2"/>
  <c r="L58" i="2"/>
  <c r="K58" i="2"/>
  <c r="R58" i="2"/>
  <c r="T58" i="2"/>
  <c r="AO58" i="2"/>
  <c r="AX58" i="2"/>
  <c r="AW57" i="2"/>
  <c r="AZ57" i="2"/>
  <c r="AY58" i="2"/>
  <c r="BA58" i="2"/>
  <c r="AK59" i="2"/>
  <c r="AH59" i="2"/>
  <c r="Y59" i="2"/>
  <c r="Z59" i="2"/>
  <c r="AA59" i="2"/>
  <c r="AB59" i="2"/>
  <c r="X59" i="2"/>
  <c r="W59" i="2"/>
  <c r="AL59" i="2"/>
  <c r="AD59" i="2"/>
  <c r="AC59" i="2"/>
  <c r="AE59" i="2"/>
  <c r="AM59" i="2"/>
  <c r="AN59" i="2"/>
  <c r="P59" i="2"/>
  <c r="Q59" i="2"/>
  <c r="G59" i="2"/>
  <c r="J59" i="2"/>
  <c r="F59" i="2"/>
  <c r="I59" i="2"/>
  <c r="S59" i="2"/>
  <c r="M59" i="2"/>
  <c r="L59" i="2"/>
  <c r="K59" i="2"/>
  <c r="R59" i="2"/>
  <c r="T59" i="2"/>
  <c r="AO59" i="2"/>
  <c r="AX59" i="2"/>
  <c r="AW58" i="2"/>
  <c r="AZ58" i="2"/>
  <c r="AY59" i="2"/>
  <c r="BA59" i="2"/>
  <c r="AK60" i="2"/>
  <c r="AH60" i="2"/>
  <c r="Y60" i="2"/>
  <c r="Z60" i="2"/>
  <c r="AA60" i="2"/>
  <c r="AB60" i="2"/>
  <c r="X60" i="2"/>
  <c r="W60" i="2"/>
  <c r="AL60" i="2"/>
  <c r="AD60" i="2"/>
  <c r="AC60" i="2"/>
  <c r="AE60" i="2"/>
  <c r="AM60" i="2"/>
  <c r="AN60" i="2"/>
  <c r="P60" i="2"/>
  <c r="Q60" i="2"/>
  <c r="G60" i="2"/>
  <c r="J60" i="2"/>
  <c r="F60" i="2"/>
  <c r="I60" i="2"/>
  <c r="S60" i="2"/>
  <c r="M60" i="2"/>
  <c r="L60" i="2"/>
  <c r="K60" i="2"/>
  <c r="R60" i="2"/>
  <c r="T60" i="2"/>
  <c r="AO60" i="2"/>
  <c r="AX60" i="2"/>
  <c r="AW59" i="2"/>
  <c r="AZ59" i="2"/>
  <c r="AY60" i="2"/>
  <c r="BA60" i="2"/>
  <c r="AK61" i="2"/>
  <c r="AH61" i="2"/>
  <c r="Y61" i="2"/>
  <c r="Z61" i="2"/>
  <c r="AA61" i="2"/>
  <c r="AB61" i="2"/>
  <c r="X61" i="2"/>
  <c r="W61" i="2"/>
  <c r="AL61" i="2"/>
  <c r="AD61" i="2"/>
  <c r="AC61" i="2"/>
  <c r="AE61" i="2"/>
  <c r="AM61" i="2"/>
  <c r="AN61" i="2"/>
  <c r="P61" i="2"/>
  <c r="Q61" i="2"/>
  <c r="G61" i="2"/>
  <c r="J61" i="2"/>
  <c r="F61" i="2"/>
  <c r="I61" i="2"/>
  <c r="S61" i="2"/>
  <c r="M61" i="2"/>
  <c r="L61" i="2"/>
  <c r="K61" i="2"/>
  <c r="R61" i="2"/>
  <c r="T61" i="2"/>
  <c r="AO61" i="2"/>
  <c r="AX61" i="2"/>
  <c r="AW60" i="2"/>
  <c r="AZ60" i="2"/>
  <c r="AY61" i="2"/>
  <c r="BA61" i="2"/>
  <c r="AK62" i="2"/>
  <c r="AH62" i="2"/>
  <c r="Y62" i="2"/>
  <c r="Z62" i="2"/>
  <c r="AA62" i="2"/>
  <c r="AB62" i="2"/>
  <c r="X62" i="2"/>
  <c r="W62" i="2"/>
  <c r="AL62" i="2"/>
  <c r="AD62" i="2"/>
  <c r="AC62" i="2"/>
  <c r="AE62" i="2"/>
  <c r="AM62" i="2"/>
  <c r="AN62" i="2"/>
  <c r="P62" i="2"/>
  <c r="Q62" i="2"/>
  <c r="G62" i="2"/>
  <c r="J62" i="2"/>
  <c r="F62" i="2"/>
  <c r="I62" i="2"/>
  <c r="S62" i="2"/>
  <c r="M62" i="2"/>
  <c r="L62" i="2"/>
  <c r="K62" i="2"/>
  <c r="R62" i="2"/>
  <c r="T62" i="2"/>
  <c r="AO62" i="2"/>
  <c r="AX62" i="2"/>
  <c r="AW61" i="2"/>
  <c r="AZ61" i="2"/>
  <c r="AY62" i="2"/>
  <c r="BA62" i="2"/>
  <c r="AK63" i="2"/>
  <c r="AH63" i="2"/>
  <c r="Y63" i="2"/>
  <c r="Z63" i="2"/>
  <c r="AA63" i="2"/>
  <c r="AB63" i="2"/>
  <c r="X63" i="2"/>
  <c r="W63" i="2"/>
  <c r="AL63" i="2"/>
  <c r="AD63" i="2"/>
  <c r="AC63" i="2"/>
  <c r="AE63" i="2"/>
  <c r="AM63" i="2"/>
  <c r="AN63" i="2"/>
  <c r="P63" i="2"/>
  <c r="Q63" i="2"/>
  <c r="G63" i="2"/>
  <c r="J63" i="2"/>
  <c r="F63" i="2"/>
  <c r="I63" i="2"/>
  <c r="S63" i="2"/>
  <c r="M63" i="2"/>
  <c r="L63" i="2"/>
  <c r="K63" i="2"/>
  <c r="R63" i="2"/>
  <c r="T63" i="2"/>
  <c r="AO63" i="2"/>
  <c r="AX63" i="2"/>
  <c r="AW62" i="2"/>
  <c r="AZ62" i="2"/>
  <c r="AY63" i="2"/>
  <c r="BA63" i="2"/>
  <c r="AK64" i="2"/>
  <c r="AH64" i="2"/>
  <c r="Y64" i="2"/>
  <c r="Z64" i="2"/>
  <c r="AA64" i="2"/>
  <c r="AB64" i="2"/>
  <c r="X64" i="2"/>
  <c r="W64" i="2"/>
  <c r="AL64" i="2"/>
  <c r="AD64" i="2"/>
  <c r="AC64" i="2"/>
  <c r="AE64" i="2"/>
  <c r="AM64" i="2"/>
  <c r="AN64" i="2"/>
  <c r="P64" i="2"/>
  <c r="Q64" i="2"/>
  <c r="G64" i="2"/>
  <c r="J64" i="2"/>
  <c r="F64" i="2"/>
  <c r="I64" i="2"/>
  <c r="S64" i="2"/>
  <c r="M64" i="2"/>
  <c r="L64" i="2"/>
  <c r="K64" i="2"/>
  <c r="R64" i="2"/>
  <c r="T64" i="2"/>
  <c r="AO64" i="2"/>
  <c r="AX64" i="2"/>
  <c r="AW63" i="2"/>
  <c r="AZ63" i="2"/>
  <c r="AY64" i="2"/>
  <c r="BA64" i="2"/>
  <c r="AK65" i="2"/>
  <c r="AH65" i="2"/>
  <c r="Y65" i="2"/>
  <c r="Z65" i="2"/>
  <c r="AA65" i="2"/>
  <c r="AB65" i="2"/>
  <c r="X65" i="2"/>
  <c r="W65" i="2"/>
  <c r="AL65" i="2"/>
  <c r="AD65" i="2"/>
  <c r="AC65" i="2"/>
  <c r="AE65" i="2"/>
  <c r="AM65" i="2"/>
  <c r="AN65" i="2"/>
  <c r="P65" i="2"/>
  <c r="Q65" i="2"/>
  <c r="G65" i="2"/>
  <c r="J65" i="2"/>
  <c r="F65" i="2"/>
  <c r="I65" i="2"/>
  <c r="S65" i="2"/>
  <c r="M65" i="2"/>
  <c r="L65" i="2"/>
  <c r="K65" i="2"/>
  <c r="R65" i="2"/>
  <c r="T65" i="2"/>
  <c r="AO65" i="2"/>
  <c r="AX65" i="2"/>
  <c r="AW64" i="2"/>
  <c r="AZ64" i="2"/>
  <c r="AY65" i="2"/>
  <c r="BA65" i="2"/>
  <c r="AK66" i="2"/>
  <c r="AH66" i="2"/>
  <c r="Y66" i="2"/>
  <c r="Z66" i="2"/>
  <c r="AA66" i="2"/>
  <c r="AB66" i="2"/>
  <c r="X66" i="2"/>
  <c r="W66" i="2"/>
  <c r="AL66" i="2"/>
  <c r="AD66" i="2"/>
  <c r="AC66" i="2"/>
  <c r="AE66" i="2"/>
  <c r="AM66" i="2"/>
  <c r="AN66" i="2"/>
  <c r="P66" i="2"/>
  <c r="Q66" i="2"/>
  <c r="G66" i="2"/>
  <c r="J66" i="2"/>
  <c r="F66" i="2"/>
  <c r="I66" i="2"/>
  <c r="S66" i="2"/>
  <c r="M66" i="2"/>
  <c r="L66" i="2"/>
  <c r="K66" i="2"/>
  <c r="R66" i="2"/>
  <c r="T66" i="2"/>
  <c r="AO66" i="2"/>
  <c r="AX66" i="2"/>
  <c r="AW65" i="2"/>
  <c r="AZ65" i="2"/>
  <c r="AY66" i="2"/>
  <c r="BA66" i="2"/>
  <c r="AK67" i="2"/>
  <c r="AH67" i="2"/>
  <c r="Y67" i="2"/>
  <c r="Z67" i="2"/>
  <c r="AA67" i="2"/>
  <c r="AB67" i="2"/>
  <c r="X67" i="2"/>
  <c r="W67" i="2"/>
  <c r="AL67" i="2"/>
  <c r="AD67" i="2"/>
  <c r="AC67" i="2"/>
  <c r="AE67" i="2"/>
  <c r="AM67" i="2"/>
  <c r="AN67" i="2"/>
  <c r="P67" i="2"/>
  <c r="Q67" i="2"/>
  <c r="G67" i="2"/>
  <c r="J67" i="2"/>
  <c r="F67" i="2"/>
  <c r="I67" i="2"/>
  <c r="S67" i="2"/>
  <c r="M67" i="2"/>
  <c r="L67" i="2"/>
  <c r="K67" i="2"/>
  <c r="R67" i="2"/>
  <c r="T67" i="2"/>
  <c r="AO67" i="2"/>
  <c r="AX67" i="2"/>
  <c r="AW66" i="2"/>
  <c r="AZ66" i="2"/>
  <c r="AY67" i="2"/>
  <c r="BA67" i="2"/>
  <c r="AK68" i="2"/>
  <c r="AH68" i="2"/>
  <c r="Y68" i="2"/>
  <c r="Z68" i="2"/>
  <c r="AA68" i="2"/>
  <c r="AB68" i="2"/>
  <c r="X68" i="2"/>
  <c r="W68" i="2"/>
  <c r="AL68" i="2"/>
  <c r="AD68" i="2"/>
  <c r="AC68" i="2"/>
  <c r="AE68" i="2"/>
  <c r="AM68" i="2"/>
  <c r="AN68" i="2"/>
  <c r="P68" i="2"/>
  <c r="Q68" i="2"/>
  <c r="G68" i="2"/>
  <c r="J68" i="2"/>
  <c r="F68" i="2"/>
  <c r="I68" i="2"/>
  <c r="S68" i="2"/>
  <c r="M68" i="2"/>
  <c r="L68" i="2"/>
  <c r="K68" i="2"/>
  <c r="R68" i="2"/>
  <c r="T68" i="2"/>
  <c r="AO68" i="2"/>
  <c r="AX68" i="2"/>
  <c r="AW67" i="2"/>
  <c r="AZ67" i="2"/>
  <c r="AY68" i="2"/>
  <c r="BA68" i="2"/>
  <c r="AK69" i="2"/>
  <c r="AH69" i="2"/>
  <c r="Y69" i="2"/>
  <c r="Z69" i="2"/>
  <c r="AA69" i="2"/>
  <c r="AB69" i="2"/>
  <c r="X69" i="2"/>
  <c r="W69" i="2"/>
  <c r="AL69" i="2"/>
  <c r="AD69" i="2"/>
  <c r="AC69" i="2"/>
  <c r="AE69" i="2"/>
  <c r="AM69" i="2"/>
  <c r="AN69" i="2"/>
  <c r="P69" i="2"/>
  <c r="Q69" i="2"/>
  <c r="G69" i="2"/>
  <c r="J69" i="2"/>
  <c r="F69" i="2"/>
  <c r="I69" i="2"/>
  <c r="S69" i="2"/>
  <c r="M69" i="2"/>
  <c r="L69" i="2"/>
  <c r="K69" i="2"/>
  <c r="R69" i="2"/>
  <c r="T69" i="2"/>
  <c r="AO69" i="2"/>
  <c r="AX69" i="2"/>
  <c r="AW68" i="2"/>
  <c r="AZ68" i="2"/>
  <c r="AY69" i="2"/>
  <c r="BA69" i="2"/>
  <c r="AK70" i="2"/>
  <c r="AH70" i="2"/>
  <c r="Y70" i="2"/>
  <c r="Z70" i="2"/>
  <c r="AA70" i="2"/>
  <c r="AB70" i="2"/>
  <c r="X70" i="2"/>
  <c r="W70" i="2"/>
  <c r="AL70" i="2"/>
  <c r="AD70" i="2"/>
  <c r="AC70" i="2"/>
  <c r="AE70" i="2"/>
  <c r="AM70" i="2"/>
  <c r="AN70" i="2"/>
  <c r="P70" i="2"/>
  <c r="Q70" i="2"/>
  <c r="G70" i="2"/>
  <c r="J70" i="2"/>
  <c r="F70" i="2"/>
  <c r="I70" i="2"/>
  <c r="S70" i="2"/>
  <c r="M70" i="2"/>
  <c r="L70" i="2"/>
  <c r="K70" i="2"/>
  <c r="R70" i="2"/>
  <c r="T70" i="2"/>
  <c r="AO70" i="2"/>
  <c r="AX70" i="2"/>
  <c r="AW69" i="2"/>
  <c r="AZ69" i="2"/>
  <c r="AY70" i="2"/>
  <c r="BA70" i="2"/>
  <c r="AK71" i="2"/>
  <c r="AH71" i="2"/>
  <c r="Y71" i="2"/>
  <c r="Z71" i="2"/>
  <c r="AA71" i="2"/>
  <c r="AB71" i="2"/>
  <c r="X71" i="2"/>
  <c r="W71" i="2"/>
  <c r="AL71" i="2"/>
  <c r="AD71" i="2"/>
  <c r="AC71" i="2"/>
  <c r="AE71" i="2"/>
  <c r="AM71" i="2"/>
  <c r="AN71" i="2"/>
  <c r="P71" i="2"/>
  <c r="Q71" i="2"/>
  <c r="G71" i="2"/>
  <c r="J71" i="2"/>
  <c r="F71" i="2"/>
  <c r="I71" i="2"/>
  <c r="S71" i="2"/>
  <c r="M71" i="2"/>
  <c r="L71" i="2"/>
  <c r="K71" i="2"/>
  <c r="R71" i="2"/>
  <c r="T71" i="2"/>
  <c r="AO71" i="2"/>
  <c r="AX71" i="2"/>
  <c r="AW70" i="2"/>
  <c r="AZ70" i="2"/>
  <c r="AY71" i="2"/>
  <c r="BA71" i="2"/>
  <c r="AK72" i="2"/>
  <c r="AH72" i="2"/>
  <c r="Y72" i="2"/>
  <c r="Z72" i="2"/>
  <c r="AA72" i="2"/>
  <c r="AB72" i="2"/>
  <c r="X72" i="2"/>
  <c r="W72" i="2"/>
  <c r="AL72" i="2"/>
  <c r="AD72" i="2"/>
  <c r="AC72" i="2"/>
  <c r="AE72" i="2"/>
  <c r="AM72" i="2"/>
  <c r="AN72" i="2"/>
  <c r="P72" i="2"/>
  <c r="Q72" i="2"/>
  <c r="G72" i="2"/>
  <c r="J72" i="2"/>
  <c r="F72" i="2"/>
  <c r="I72" i="2"/>
  <c r="S72" i="2"/>
  <c r="M72" i="2"/>
  <c r="L72" i="2"/>
  <c r="K72" i="2"/>
  <c r="R72" i="2"/>
  <c r="T72" i="2"/>
  <c r="AO72" i="2"/>
  <c r="AX72" i="2"/>
  <c r="AW71" i="2"/>
  <c r="AZ71" i="2"/>
  <c r="AY72" i="2"/>
  <c r="BA72" i="2"/>
  <c r="AK73" i="2"/>
  <c r="AH73" i="2"/>
  <c r="Y73" i="2"/>
  <c r="Z73" i="2"/>
  <c r="AA73" i="2"/>
  <c r="AB73" i="2"/>
  <c r="X73" i="2"/>
  <c r="W73" i="2"/>
  <c r="AL73" i="2"/>
  <c r="AD73" i="2"/>
  <c r="AC73" i="2"/>
  <c r="AE73" i="2"/>
  <c r="AM73" i="2"/>
  <c r="AN73" i="2"/>
  <c r="P73" i="2"/>
  <c r="Q73" i="2"/>
  <c r="G73" i="2"/>
  <c r="J73" i="2"/>
  <c r="F73" i="2"/>
  <c r="I73" i="2"/>
  <c r="S73" i="2"/>
  <c r="M73" i="2"/>
  <c r="L73" i="2"/>
  <c r="K73" i="2"/>
  <c r="R73" i="2"/>
  <c r="T73" i="2"/>
  <c r="AO73" i="2"/>
  <c r="AX73" i="2"/>
  <c r="AW72" i="2"/>
  <c r="AZ72" i="2"/>
  <c r="AY73" i="2"/>
  <c r="BA73" i="2"/>
  <c r="AK74" i="2"/>
  <c r="AH74" i="2"/>
  <c r="Y74" i="2"/>
  <c r="Z74" i="2"/>
  <c r="AA74" i="2"/>
  <c r="AB74" i="2"/>
  <c r="X74" i="2"/>
  <c r="W74" i="2"/>
  <c r="AL74" i="2"/>
  <c r="AD74" i="2"/>
  <c r="AC74" i="2"/>
  <c r="AE74" i="2"/>
  <c r="AM74" i="2"/>
  <c r="AN74" i="2"/>
  <c r="P74" i="2"/>
  <c r="Q74" i="2"/>
  <c r="G74" i="2"/>
  <c r="J74" i="2"/>
  <c r="F74" i="2"/>
  <c r="I74" i="2"/>
  <c r="S74" i="2"/>
  <c r="M74" i="2"/>
  <c r="L74" i="2"/>
  <c r="K74" i="2"/>
  <c r="R74" i="2"/>
  <c r="T74" i="2"/>
  <c r="AO74" i="2"/>
  <c r="AX74" i="2"/>
  <c r="AW73" i="2"/>
  <c r="AZ73" i="2"/>
  <c r="AY74" i="2"/>
  <c r="BA74" i="2"/>
  <c r="AK75" i="2"/>
  <c r="AH75" i="2"/>
  <c r="Y75" i="2"/>
  <c r="Z75" i="2"/>
  <c r="AA75" i="2"/>
  <c r="AB75" i="2"/>
  <c r="X75" i="2"/>
  <c r="W75" i="2"/>
  <c r="AL75" i="2"/>
  <c r="AD75" i="2"/>
  <c r="AC75" i="2"/>
  <c r="AE75" i="2"/>
  <c r="AM75" i="2"/>
  <c r="AN75" i="2"/>
  <c r="P75" i="2"/>
  <c r="Q75" i="2"/>
  <c r="G75" i="2"/>
  <c r="J75" i="2"/>
  <c r="F75" i="2"/>
  <c r="I75" i="2"/>
  <c r="S75" i="2"/>
  <c r="M75" i="2"/>
  <c r="L75" i="2"/>
  <c r="K75" i="2"/>
  <c r="R75" i="2"/>
  <c r="T75" i="2"/>
  <c r="AO75" i="2"/>
  <c r="AX75" i="2"/>
  <c r="AW74" i="2"/>
  <c r="AZ74" i="2"/>
  <c r="AY75" i="2"/>
  <c r="BA75" i="2"/>
  <c r="AK76" i="2"/>
  <c r="AH76" i="2"/>
  <c r="Y76" i="2"/>
  <c r="Z76" i="2"/>
  <c r="AA76" i="2"/>
  <c r="AB76" i="2"/>
  <c r="X76" i="2"/>
  <c r="W76" i="2"/>
  <c r="AL76" i="2"/>
  <c r="AD76" i="2"/>
  <c r="AC76" i="2"/>
  <c r="AE76" i="2"/>
  <c r="AM76" i="2"/>
  <c r="AN76" i="2"/>
  <c r="P76" i="2"/>
  <c r="Q76" i="2"/>
  <c r="G76" i="2"/>
  <c r="J76" i="2"/>
  <c r="F76" i="2"/>
  <c r="I76" i="2"/>
  <c r="S76" i="2"/>
  <c r="M76" i="2"/>
  <c r="L76" i="2"/>
  <c r="K76" i="2"/>
  <c r="R76" i="2"/>
  <c r="T76" i="2"/>
  <c r="AO76" i="2"/>
  <c r="AX76" i="2"/>
  <c r="AW75" i="2"/>
  <c r="AZ75" i="2"/>
  <c r="AY76" i="2"/>
  <c r="BA76" i="2"/>
  <c r="AK77" i="2"/>
  <c r="AH77" i="2"/>
  <c r="Y77" i="2"/>
  <c r="Z77" i="2"/>
  <c r="AA77" i="2"/>
  <c r="AB77" i="2"/>
  <c r="X77" i="2"/>
  <c r="W77" i="2"/>
  <c r="AL77" i="2"/>
  <c r="AD77" i="2"/>
  <c r="AC77" i="2"/>
  <c r="AE77" i="2"/>
  <c r="AM77" i="2"/>
  <c r="AN77" i="2"/>
  <c r="P77" i="2"/>
  <c r="Q77" i="2"/>
  <c r="G77" i="2"/>
  <c r="J77" i="2"/>
  <c r="F77" i="2"/>
  <c r="I77" i="2"/>
  <c r="S77" i="2"/>
  <c r="M77" i="2"/>
  <c r="L77" i="2"/>
  <c r="K77" i="2"/>
  <c r="R77" i="2"/>
  <c r="T77" i="2"/>
  <c r="AO77" i="2"/>
  <c r="AX77" i="2"/>
  <c r="AW76" i="2"/>
  <c r="AZ76" i="2"/>
  <c r="AY77" i="2"/>
  <c r="BA77" i="2"/>
  <c r="AK78" i="2"/>
  <c r="AH78" i="2"/>
  <c r="Y78" i="2"/>
  <c r="Z78" i="2"/>
  <c r="AA78" i="2"/>
  <c r="AB78" i="2"/>
  <c r="X78" i="2"/>
  <c r="W78" i="2"/>
  <c r="AL78" i="2"/>
  <c r="AD78" i="2"/>
  <c r="AC78" i="2"/>
  <c r="AE78" i="2"/>
  <c r="AM78" i="2"/>
  <c r="AN78" i="2"/>
  <c r="P78" i="2"/>
  <c r="Q78" i="2"/>
  <c r="G78" i="2"/>
  <c r="J78" i="2"/>
  <c r="F78" i="2"/>
  <c r="I78" i="2"/>
  <c r="S78" i="2"/>
  <c r="M78" i="2"/>
  <c r="L78" i="2"/>
  <c r="K78" i="2"/>
  <c r="R78" i="2"/>
  <c r="T78" i="2"/>
  <c r="AO78" i="2"/>
  <c r="AX78" i="2"/>
  <c r="AW77" i="2"/>
  <c r="AZ77" i="2"/>
  <c r="AY78" i="2"/>
  <c r="BA78" i="2"/>
  <c r="AK79" i="2"/>
  <c r="AH79" i="2"/>
  <c r="Y79" i="2"/>
  <c r="Z79" i="2"/>
  <c r="AA79" i="2"/>
  <c r="AB79" i="2"/>
  <c r="X79" i="2"/>
  <c r="W79" i="2"/>
  <c r="AL79" i="2"/>
  <c r="AD79" i="2"/>
  <c r="AC79" i="2"/>
  <c r="AE79" i="2"/>
  <c r="AM79" i="2"/>
  <c r="AN79" i="2"/>
  <c r="P79" i="2"/>
  <c r="Q79" i="2"/>
  <c r="G79" i="2"/>
  <c r="J79" i="2"/>
  <c r="F79" i="2"/>
  <c r="I79" i="2"/>
  <c r="S79" i="2"/>
  <c r="M79" i="2"/>
  <c r="L79" i="2"/>
  <c r="K79" i="2"/>
  <c r="R79" i="2"/>
  <c r="T79" i="2"/>
  <c r="AO79" i="2"/>
  <c r="AX79" i="2"/>
  <c r="AW78" i="2"/>
  <c r="AZ78" i="2"/>
  <c r="AY79" i="2"/>
  <c r="BA79" i="2"/>
  <c r="AK80" i="2"/>
  <c r="AH80" i="2"/>
  <c r="Y80" i="2"/>
  <c r="Z80" i="2"/>
  <c r="AA80" i="2"/>
  <c r="AB80" i="2"/>
  <c r="X80" i="2"/>
  <c r="W80" i="2"/>
  <c r="AL80" i="2"/>
  <c r="AD80" i="2"/>
  <c r="AC80" i="2"/>
  <c r="AE80" i="2"/>
  <c r="AM80" i="2"/>
  <c r="AN80" i="2"/>
  <c r="P80" i="2"/>
  <c r="Q80" i="2"/>
  <c r="G80" i="2"/>
  <c r="J80" i="2"/>
  <c r="F80" i="2"/>
  <c r="I80" i="2"/>
  <c r="S80" i="2"/>
  <c r="M80" i="2"/>
  <c r="L80" i="2"/>
  <c r="K80" i="2"/>
  <c r="R80" i="2"/>
  <c r="T80" i="2"/>
  <c r="AO80" i="2"/>
  <c r="AX80" i="2"/>
  <c r="AW79" i="2"/>
  <c r="AZ79" i="2"/>
  <c r="AY80" i="2"/>
  <c r="BA80" i="2"/>
  <c r="AK81" i="2"/>
  <c r="AH81" i="2"/>
  <c r="Y81" i="2"/>
  <c r="Z81" i="2"/>
  <c r="AA81" i="2"/>
  <c r="AB81" i="2"/>
  <c r="X81" i="2"/>
  <c r="W81" i="2"/>
  <c r="AL81" i="2"/>
  <c r="AD81" i="2"/>
  <c r="AC81" i="2"/>
  <c r="AE81" i="2"/>
  <c r="AM81" i="2"/>
  <c r="AN81" i="2"/>
  <c r="P81" i="2"/>
  <c r="Q81" i="2"/>
  <c r="G81" i="2"/>
  <c r="J81" i="2"/>
  <c r="F81" i="2"/>
  <c r="I81" i="2"/>
  <c r="S81" i="2"/>
  <c r="M81" i="2"/>
  <c r="L81" i="2"/>
  <c r="K81" i="2"/>
  <c r="R81" i="2"/>
  <c r="T81" i="2"/>
  <c r="AO81" i="2"/>
  <c r="AX81" i="2"/>
  <c r="AW80" i="2"/>
  <c r="AZ80" i="2"/>
  <c r="AY81" i="2"/>
  <c r="BA81" i="2"/>
  <c r="AK82" i="2"/>
  <c r="AH82" i="2"/>
  <c r="Y82" i="2"/>
  <c r="Z82" i="2"/>
  <c r="AA82" i="2"/>
  <c r="AB82" i="2"/>
  <c r="X82" i="2"/>
  <c r="W82" i="2"/>
  <c r="AL82" i="2"/>
  <c r="AD82" i="2"/>
  <c r="AC82" i="2"/>
  <c r="AE82" i="2"/>
  <c r="AM82" i="2"/>
  <c r="AN82" i="2"/>
  <c r="P82" i="2"/>
  <c r="Q82" i="2"/>
  <c r="G82" i="2"/>
  <c r="J82" i="2"/>
  <c r="F82" i="2"/>
  <c r="I82" i="2"/>
  <c r="S82" i="2"/>
  <c r="M82" i="2"/>
  <c r="L82" i="2"/>
  <c r="K82" i="2"/>
  <c r="R82" i="2"/>
  <c r="T82" i="2"/>
  <c r="AO82" i="2"/>
  <c r="AX82" i="2"/>
  <c r="AW81" i="2"/>
  <c r="AZ81" i="2"/>
  <c r="AY82" i="2"/>
  <c r="BA82" i="2"/>
  <c r="AK83" i="2"/>
  <c r="AH83" i="2"/>
  <c r="Y83" i="2"/>
  <c r="Z83" i="2"/>
  <c r="AA83" i="2"/>
  <c r="AB83" i="2"/>
  <c r="X83" i="2"/>
  <c r="W83" i="2"/>
  <c r="AL83" i="2"/>
  <c r="AD83" i="2"/>
  <c r="AC83" i="2"/>
  <c r="AE83" i="2"/>
  <c r="AM83" i="2"/>
  <c r="AN83" i="2"/>
  <c r="P83" i="2"/>
  <c r="Q83" i="2"/>
  <c r="G83" i="2"/>
  <c r="J83" i="2"/>
  <c r="F83" i="2"/>
  <c r="I83" i="2"/>
  <c r="S83" i="2"/>
  <c r="M83" i="2"/>
  <c r="L83" i="2"/>
  <c r="K83" i="2"/>
  <c r="R83" i="2"/>
  <c r="T83" i="2"/>
  <c r="AO83" i="2"/>
  <c r="AX83" i="2"/>
  <c r="AW82" i="2"/>
  <c r="AZ82" i="2"/>
  <c r="AY83" i="2"/>
  <c r="BA83" i="2"/>
  <c r="AK84" i="2"/>
  <c r="AH84" i="2"/>
  <c r="Y84" i="2"/>
  <c r="Z84" i="2"/>
  <c r="AA84" i="2"/>
  <c r="AB84" i="2"/>
  <c r="X84" i="2"/>
  <c r="W84" i="2"/>
  <c r="AL84" i="2"/>
  <c r="AD84" i="2"/>
  <c r="AC84" i="2"/>
  <c r="AE84" i="2"/>
  <c r="AM84" i="2"/>
  <c r="AN84" i="2"/>
  <c r="P84" i="2"/>
  <c r="Q84" i="2"/>
  <c r="G84" i="2"/>
  <c r="J84" i="2"/>
  <c r="F84" i="2"/>
  <c r="I84" i="2"/>
  <c r="S84" i="2"/>
  <c r="M84" i="2"/>
  <c r="L84" i="2"/>
  <c r="K84" i="2"/>
  <c r="R84" i="2"/>
  <c r="T84" i="2"/>
  <c r="AO84" i="2"/>
  <c r="AX84" i="2"/>
  <c r="AW83" i="2"/>
  <c r="AZ83" i="2"/>
  <c r="AY84" i="2"/>
  <c r="BA84" i="2"/>
  <c r="AK85" i="2"/>
  <c r="AH85" i="2"/>
  <c r="Y85" i="2"/>
  <c r="Z85" i="2"/>
  <c r="AA85" i="2"/>
  <c r="AB85" i="2"/>
  <c r="X85" i="2"/>
  <c r="W85" i="2"/>
  <c r="AL85" i="2"/>
  <c r="AD85" i="2"/>
  <c r="AC85" i="2"/>
  <c r="AE85" i="2"/>
  <c r="AM85" i="2"/>
  <c r="AN85" i="2"/>
  <c r="P85" i="2"/>
  <c r="Q85" i="2"/>
  <c r="G85" i="2"/>
  <c r="J85" i="2"/>
  <c r="F85" i="2"/>
  <c r="I85" i="2"/>
  <c r="S85" i="2"/>
  <c r="M85" i="2"/>
  <c r="L85" i="2"/>
  <c r="K85" i="2"/>
  <c r="R85" i="2"/>
  <c r="T85" i="2"/>
  <c r="AO85" i="2"/>
  <c r="AX85" i="2"/>
  <c r="AW84" i="2"/>
  <c r="AZ84" i="2"/>
  <c r="AY85" i="2"/>
  <c r="BA85" i="2"/>
  <c r="AK86" i="2"/>
  <c r="AH86" i="2"/>
  <c r="Y86" i="2"/>
  <c r="Z86" i="2"/>
  <c r="AA86" i="2"/>
  <c r="AB86" i="2"/>
  <c r="X86" i="2"/>
  <c r="W86" i="2"/>
  <c r="AL86" i="2"/>
  <c r="AD86" i="2"/>
  <c r="AC86" i="2"/>
  <c r="AE86" i="2"/>
  <c r="AM86" i="2"/>
  <c r="AN86" i="2"/>
  <c r="P86" i="2"/>
  <c r="Q86" i="2"/>
  <c r="G86" i="2"/>
  <c r="J86" i="2"/>
  <c r="F86" i="2"/>
  <c r="I86" i="2"/>
  <c r="S86" i="2"/>
  <c r="M86" i="2"/>
  <c r="L86" i="2"/>
  <c r="K86" i="2"/>
  <c r="R86" i="2"/>
  <c r="T86" i="2"/>
  <c r="AO86" i="2"/>
  <c r="AX86" i="2"/>
  <c r="AW85" i="2"/>
  <c r="AZ85" i="2"/>
  <c r="AY86" i="2"/>
  <c r="BA86" i="2"/>
  <c r="AK87" i="2"/>
  <c r="AH87" i="2"/>
  <c r="Y87" i="2"/>
  <c r="Z87" i="2"/>
  <c r="AA87" i="2"/>
  <c r="AB87" i="2"/>
  <c r="X87" i="2"/>
  <c r="W87" i="2"/>
  <c r="AL87" i="2"/>
  <c r="AD87" i="2"/>
  <c r="AC87" i="2"/>
  <c r="AE87" i="2"/>
  <c r="AM87" i="2"/>
  <c r="AN87" i="2"/>
  <c r="P87" i="2"/>
  <c r="Q87" i="2"/>
  <c r="G87" i="2"/>
  <c r="J87" i="2"/>
  <c r="F87" i="2"/>
  <c r="I87" i="2"/>
  <c r="S87" i="2"/>
  <c r="M87" i="2"/>
  <c r="L87" i="2"/>
  <c r="K87" i="2"/>
  <c r="R87" i="2"/>
  <c r="T87" i="2"/>
  <c r="AO87" i="2"/>
  <c r="AX87" i="2"/>
  <c r="AW86" i="2"/>
  <c r="AZ86" i="2"/>
  <c r="AY87" i="2"/>
  <c r="BA87" i="2"/>
  <c r="AK88" i="2"/>
  <c r="AH88" i="2"/>
  <c r="Y88" i="2"/>
  <c r="Z88" i="2"/>
  <c r="AA88" i="2"/>
  <c r="AB88" i="2"/>
  <c r="X88" i="2"/>
  <c r="W88" i="2"/>
  <c r="AL88" i="2"/>
  <c r="AD88" i="2"/>
  <c r="AC88" i="2"/>
  <c r="AE88" i="2"/>
  <c r="AM88" i="2"/>
  <c r="AN88" i="2"/>
  <c r="P88" i="2"/>
  <c r="Q88" i="2"/>
  <c r="G88" i="2"/>
  <c r="J88" i="2"/>
  <c r="F88" i="2"/>
  <c r="I88" i="2"/>
  <c r="S88" i="2"/>
  <c r="M88" i="2"/>
  <c r="L88" i="2"/>
  <c r="K88" i="2"/>
  <c r="R88" i="2"/>
  <c r="T88" i="2"/>
  <c r="AO88" i="2"/>
  <c r="AX88" i="2"/>
  <c r="AW87" i="2"/>
  <c r="AZ87" i="2"/>
  <c r="AY88" i="2"/>
  <c r="BA88" i="2"/>
  <c r="AK89" i="2"/>
  <c r="AH89" i="2"/>
  <c r="Y89" i="2"/>
  <c r="Z89" i="2"/>
  <c r="AA89" i="2"/>
  <c r="AB89" i="2"/>
  <c r="X89" i="2"/>
  <c r="W89" i="2"/>
  <c r="AL89" i="2"/>
  <c r="AD89" i="2"/>
  <c r="AC89" i="2"/>
  <c r="AE89" i="2"/>
  <c r="AM89" i="2"/>
  <c r="AN89" i="2"/>
  <c r="P89" i="2"/>
  <c r="Q89" i="2"/>
  <c r="G89" i="2"/>
  <c r="J89" i="2"/>
  <c r="F89" i="2"/>
  <c r="I89" i="2"/>
  <c r="S89" i="2"/>
  <c r="M89" i="2"/>
  <c r="L89" i="2"/>
  <c r="K89" i="2"/>
  <c r="R89" i="2"/>
  <c r="T89" i="2"/>
  <c r="AO89" i="2"/>
  <c r="AX89" i="2"/>
  <c r="AW88" i="2"/>
  <c r="AZ88" i="2"/>
  <c r="AY89" i="2"/>
  <c r="BA89" i="2"/>
  <c r="AK90" i="2"/>
  <c r="AH90" i="2"/>
  <c r="Y90" i="2"/>
  <c r="Z90" i="2"/>
  <c r="AA90" i="2"/>
  <c r="AB90" i="2"/>
  <c r="X90" i="2"/>
  <c r="W90" i="2"/>
  <c r="AL90" i="2"/>
  <c r="AD90" i="2"/>
  <c r="AC90" i="2"/>
  <c r="AE90" i="2"/>
  <c r="AM90" i="2"/>
  <c r="AN90" i="2"/>
  <c r="P90" i="2"/>
  <c r="Q90" i="2"/>
  <c r="G90" i="2"/>
  <c r="J90" i="2"/>
  <c r="F90" i="2"/>
  <c r="I90" i="2"/>
  <c r="S90" i="2"/>
  <c r="M90" i="2"/>
  <c r="L90" i="2"/>
  <c r="K90" i="2"/>
  <c r="R90" i="2"/>
  <c r="T90" i="2"/>
  <c r="AO90" i="2"/>
  <c r="AX90" i="2"/>
  <c r="AW89" i="2"/>
  <c r="AZ89" i="2"/>
  <c r="AY90" i="2"/>
  <c r="BA90" i="2"/>
  <c r="AK91" i="2"/>
  <c r="AH91" i="2"/>
  <c r="Y91" i="2"/>
  <c r="Z91" i="2"/>
  <c r="AA91" i="2"/>
  <c r="AB91" i="2"/>
  <c r="X91" i="2"/>
  <c r="W91" i="2"/>
  <c r="AL91" i="2"/>
  <c r="AD91" i="2"/>
  <c r="AC91" i="2"/>
  <c r="AE91" i="2"/>
  <c r="AM91" i="2"/>
  <c r="AN91" i="2"/>
  <c r="P91" i="2"/>
  <c r="Q91" i="2"/>
  <c r="G91" i="2"/>
  <c r="J91" i="2"/>
  <c r="F91" i="2"/>
  <c r="I91" i="2"/>
  <c r="S91" i="2"/>
  <c r="M91" i="2"/>
  <c r="L91" i="2"/>
  <c r="K91" i="2"/>
  <c r="R91" i="2"/>
  <c r="T91" i="2"/>
  <c r="AO91" i="2"/>
  <c r="AX91" i="2"/>
  <c r="AW90" i="2"/>
  <c r="AZ90" i="2"/>
  <c r="AY91" i="2"/>
  <c r="BA91" i="2"/>
  <c r="AK92" i="2"/>
  <c r="AH92" i="2"/>
  <c r="Y92" i="2"/>
  <c r="Z92" i="2"/>
  <c r="AA92" i="2"/>
  <c r="AB92" i="2"/>
  <c r="X92" i="2"/>
  <c r="W92" i="2"/>
  <c r="AL92" i="2"/>
  <c r="AD92" i="2"/>
  <c r="AC92" i="2"/>
  <c r="AE92" i="2"/>
  <c r="AM92" i="2"/>
  <c r="AN92" i="2"/>
  <c r="P92" i="2"/>
  <c r="Q92" i="2"/>
  <c r="G92" i="2"/>
  <c r="J92" i="2"/>
  <c r="F92" i="2"/>
  <c r="I92" i="2"/>
  <c r="S92" i="2"/>
  <c r="M92" i="2"/>
  <c r="L92" i="2"/>
  <c r="K92" i="2"/>
  <c r="R92" i="2"/>
  <c r="T92" i="2"/>
  <c r="AO92" i="2"/>
  <c r="AX92" i="2"/>
  <c r="AW91" i="2"/>
  <c r="AZ91" i="2"/>
  <c r="AY92" i="2"/>
  <c r="BA92" i="2"/>
  <c r="AK93" i="2"/>
  <c r="AH93" i="2"/>
  <c r="Y93" i="2"/>
  <c r="Z93" i="2"/>
  <c r="AA93" i="2"/>
  <c r="AB93" i="2"/>
  <c r="X93" i="2"/>
  <c r="W93" i="2"/>
  <c r="AL93" i="2"/>
  <c r="AD93" i="2"/>
  <c r="AC93" i="2"/>
  <c r="AE93" i="2"/>
  <c r="AM93" i="2"/>
  <c r="AN93" i="2"/>
  <c r="P93" i="2"/>
  <c r="Q93" i="2"/>
  <c r="G93" i="2"/>
  <c r="J93" i="2"/>
  <c r="F93" i="2"/>
  <c r="I93" i="2"/>
  <c r="S93" i="2"/>
  <c r="M93" i="2"/>
  <c r="L93" i="2"/>
  <c r="K93" i="2"/>
  <c r="R93" i="2"/>
  <c r="T93" i="2"/>
  <c r="AO93" i="2"/>
  <c r="AX93" i="2"/>
  <c r="AW92" i="2"/>
  <c r="AZ92" i="2"/>
  <c r="AY93" i="2"/>
  <c r="BA93" i="2"/>
  <c r="AK94" i="2"/>
  <c r="AH94" i="2"/>
  <c r="Y94" i="2"/>
  <c r="Z94" i="2"/>
  <c r="AA94" i="2"/>
  <c r="AB94" i="2"/>
  <c r="X94" i="2"/>
  <c r="W94" i="2"/>
  <c r="AL94" i="2"/>
  <c r="AD94" i="2"/>
  <c r="AC94" i="2"/>
  <c r="AE94" i="2"/>
  <c r="AM94" i="2"/>
  <c r="AN94" i="2"/>
  <c r="P94" i="2"/>
  <c r="Q94" i="2"/>
  <c r="G94" i="2"/>
  <c r="J94" i="2"/>
  <c r="F94" i="2"/>
  <c r="I94" i="2"/>
  <c r="S94" i="2"/>
  <c r="M94" i="2"/>
  <c r="L94" i="2"/>
  <c r="K94" i="2"/>
  <c r="R94" i="2"/>
  <c r="T94" i="2"/>
  <c r="AO94" i="2"/>
  <c r="AX94" i="2"/>
  <c r="AW93" i="2"/>
  <c r="AZ93" i="2"/>
  <c r="AY94" i="2"/>
  <c r="BA94" i="2"/>
  <c r="AK95" i="2"/>
  <c r="AH95" i="2"/>
  <c r="Y95" i="2"/>
  <c r="Z95" i="2"/>
  <c r="AA95" i="2"/>
  <c r="AB95" i="2"/>
  <c r="X95" i="2"/>
  <c r="W95" i="2"/>
  <c r="AL95" i="2"/>
  <c r="AD95" i="2"/>
  <c r="AC95" i="2"/>
  <c r="AE95" i="2"/>
  <c r="AM95" i="2"/>
  <c r="AN95" i="2"/>
  <c r="P95" i="2"/>
  <c r="Q95" i="2"/>
  <c r="G95" i="2"/>
  <c r="J95" i="2"/>
  <c r="F95" i="2"/>
  <c r="I95" i="2"/>
  <c r="S95" i="2"/>
  <c r="M95" i="2"/>
  <c r="L95" i="2"/>
  <c r="K95" i="2"/>
  <c r="R95" i="2"/>
  <c r="T95" i="2"/>
  <c r="AO95" i="2"/>
  <c r="AX95" i="2"/>
  <c r="AW94" i="2"/>
  <c r="AZ94" i="2"/>
  <c r="AY95" i="2"/>
  <c r="BA95" i="2"/>
  <c r="AK96" i="2"/>
  <c r="AH96" i="2"/>
  <c r="Y96" i="2"/>
  <c r="Z96" i="2"/>
  <c r="AA96" i="2"/>
  <c r="AB96" i="2"/>
  <c r="X96" i="2"/>
  <c r="W96" i="2"/>
  <c r="AL96" i="2"/>
  <c r="AD96" i="2"/>
  <c r="AC96" i="2"/>
  <c r="AE96" i="2"/>
  <c r="AM96" i="2"/>
  <c r="AN96" i="2"/>
  <c r="P96" i="2"/>
  <c r="Q96" i="2"/>
  <c r="G96" i="2"/>
  <c r="J96" i="2"/>
  <c r="F96" i="2"/>
  <c r="I96" i="2"/>
  <c r="S96" i="2"/>
  <c r="M96" i="2"/>
  <c r="L96" i="2"/>
  <c r="K96" i="2"/>
  <c r="R96" i="2"/>
  <c r="T96" i="2"/>
  <c r="AO96" i="2"/>
  <c r="AX96" i="2"/>
  <c r="AW95" i="2"/>
  <c r="AZ95" i="2"/>
  <c r="AY96" i="2"/>
  <c r="BA96" i="2"/>
  <c r="AK97" i="2"/>
  <c r="AH97" i="2"/>
  <c r="Y97" i="2"/>
  <c r="Z97" i="2"/>
  <c r="AA97" i="2"/>
  <c r="AB97" i="2"/>
  <c r="X97" i="2"/>
  <c r="W97" i="2"/>
  <c r="AL97" i="2"/>
  <c r="AD97" i="2"/>
  <c r="AC97" i="2"/>
  <c r="AE97" i="2"/>
  <c r="AM97" i="2"/>
  <c r="AN97" i="2"/>
  <c r="P97" i="2"/>
  <c r="Q97" i="2"/>
  <c r="G97" i="2"/>
  <c r="J97" i="2"/>
  <c r="F97" i="2"/>
  <c r="I97" i="2"/>
  <c r="S97" i="2"/>
  <c r="M97" i="2"/>
  <c r="L97" i="2"/>
  <c r="K97" i="2"/>
  <c r="R97" i="2"/>
  <c r="T97" i="2"/>
  <c r="AO97" i="2"/>
  <c r="AX97" i="2"/>
  <c r="AW96" i="2"/>
  <c r="AZ96" i="2"/>
  <c r="AY97" i="2"/>
  <c r="BA97" i="2"/>
  <c r="AK98" i="2"/>
  <c r="AH98" i="2"/>
  <c r="Y98" i="2"/>
  <c r="Z98" i="2"/>
  <c r="AA98" i="2"/>
  <c r="AB98" i="2"/>
  <c r="X98" i="2"/>
  <c r="W98" i="2"/>
  <c r="AL98" i="2"/>
  <c r="AD98" i="2"/>
  <c r="AC98" i="2"/>
  <c r="AE98" i="2"/>
  <c r="AM98" i="2"/>
  <c r="AN98" i="2"/>
  <c r="P98" i="2"/>
  <c r="Q98" i="2"/>
  <c r="G98" i="2"/>
  <c r="J98" i="2"/>
  <c r="F98" i="2"/>
  <c r="I98" i="2"/>
  <c r="S98" i="2"/>
  <c r="M98" i="2"/>
  <c r="L98" i="2"/>
  <c r="K98" i="2"/>
  <c r="R98" i="2"/>
  <c r="T98" i="2"/>
  <c r="AO98" i="2"/>
  <c r="AX98" i="2"/>
  <c r="AW97" i="2"/>
  <c r="AZ97" i="2"/>
  <c r="AY98" i="2"/>
  <c r="BA98" i="2"/>
  <c r="AK99" i="2"/>
  <c r="AH99" i="2"/>
  <c r="Y99" i="2"/>
  <c r="Z99" i="2"/>
  <c r="AA99" i="2"/>
  <c r="AB99" i="2"/>
  <c r="X99" i="2"/>
  <c r="W99" i="2"/>
  <c r="AL99" i="2"/>
  <c r="AD99" i="2"/>
  <c r="AC99" i="2"/>
  <c r="AE99" i="2"/>
  <c r="AM99" i="2"/>
  <c r="AN99" i="2"/>
  <c r="P99" i="2"/>
  <c r="Q99" i="2"/>
  <c r="G99" i="2"/>
  <c r="J99" i="2"/>
  <c r="F99" i="2"/>
  <c r="I99" i="2"/>
  <c r="S99" i="2"/>
  <c r="M99" i="2"/>
  <c r="L99" i="2"/>
  <c r="K99" i="2"/>
  <c r="R99" i="2"/>
  <c r="T99" i="2"/>
  <c r="AO99" i="2"/>
  <c r="AX99" i="2"/>
  <c r="AW98" i="2"/>
  <c r="AZ98" i="2"/>
  <c r="AY99" i="2"/>
  <c r="BA99" i="2"/>
  <c r="AK100" i="2"/>
  <c r="AH100" i="2"/>
  <c r="Y100" i="2"/>
  <c r="Z100" i="2"/>
  <c r="AA100" i="2"/>
  <c r="AB100" i="2"/>
  <c r="X100" i="2"/>
  <c r="W100" i="2"/>
  <c r="AL100" i="2"/>
  <c r="AD100" i="2"/>
  <c r="AC100" i="2"/>
  <c r="AE100" i="2"/>
  <c r="AM100" i="2"/>
  <c r="AN100" i="2"/>
  <c r="P100" i="2"/>
  <c r="Q100" i="2"/>
  <c r="G100" i="2"/>
  <c r="J100" i="2"/>
  <c r="F100" i="2"/>
  <c r="I100" i="2"/>
  <c r="S100" i="2"/>
  <c r="M100" i="2"/>
  <c r="L100" i="2"/>
  <c r="K100" i="2"/>
  <c r="R100" i="2"/>
  <c r="T100" i="2"/>
  <c r="AO100" i="2"/>
  <c r="AX100" i="2"/>
  <c r="AW99" i="2"/>
  <c r="AZ99" i="2"/>
  <c r="AY100" i="2"/>
  <c r="BA100" i="2"/>
  <c r="AK101" i="2"/>
  <c r="AH101" i="2"/>
  <c r="Y101" i="2"/>
  <c r="Z101" i="2"/>
  <c r="AA101" i="2"/>
  <c r="AB101" i="2"/>
  <c r="X101" i="2"/>
  <c r="W101" i="2"/>
  <c r="AL101" i="2"/>
  <c r="AD101" i="2"/>
  <c r="AC101" i="2"/>
  <c r="AE101" i="2"/>
  <c r="AM101" i="2"/>
  <c r="AN101" i="2"/>
  <c r="P101" i="2"/>
  <c r="Q101" i="2"/>
  <c r="G101" i="2"/>
  <c r="J101" i="2"/>
  <c r="F101" i="2"/>
  <c r="I101" i="2"/>
  <c r="S101" i="2"/>
  <c r="M101" i="2"/>
  <c r="L101" i="2"/>
  <c r="K101" i="2"/>
  <c r="R101" i="2"/>
  <c r="T101" i="2"/>
  <c r="AO101" i="2"/>
  <c r="AX101" i="2"/>
  <c r="AW100" i="2"/>
  <c r="AZ100" i="2"/>
  <c r="AY101" i="2"/>
  <c r="BA101" i="2"/>
  <c r="AK102" i="2"/>
  <c r="AH102" i="2"/>
  <c r="Y102" i="2"/>
  <c r="Z102" i="2"/>
  <c r="AA102" i="2"/>
  <c r="AB102" i="2"/>
  <c r="X102" i="2"/>
  <c r="W102" i="2"/>
  <c r="AL102" i="2"/>
  <c r="AD102" i="2"/>
  <c r="AC102" i="2"/>
  <c r="AE102" i="2"/>
  <c r="AM102" i="2"/>
  <c r="AN102" i="2"/>
  <c r="P102" i="2"/>
  <c r="Q102" i="2"/>
  <c r="G102" i="2"/>
  <c r="J102" i="2"/>
  <c r="F102" i="2"/>
  <c r="I102" i="2"/>
  <c r="S102" i="2"/>
  <c r="M102" i="2"/>
  <c r="L102" i="2"/>
  <c r="K102" i="2"/>
  <c r="R102" i="2"/>
  <c r="T102" i="2"/>
  <c r="AO102" i="2"/>
  <c r="AX102" i="2"/>
  <c r="AW101" i="2"/>
  <c r="AZ101" i="2"/>
  <c r="AY102" i="2"/>
  <c r="BA102" i="2"/>
  <c r="AK103" i="2"/>
  <c r="AH103" i="2"/>
  <c r="Y103" i="2"/>
  <c r="Z103" i="2"/>
  <c r="AA103" i="2"/>
  <c r="AB103" i="2"/>
  <c r="X103" i="2"/>
  <c r="W103" i="2"/>
  <c r="AL103" i="2"/>
  <c r="AD103" i="2"/>
  <c r="AC103" i="2"/>
  <c r="AE103" i="2"/>
  <c r="AM103" i="2"/>
  <c r="AN103" i="2"/>
  <c r="P103" i="2"/>
  <c r="Q103" i="2"/>
  <c r="G103" i="2"/>
  <c r="J103" i="2"/>
  <c r="F103" i="2"/>
  <c r="I103" i="2"/>
  <c r="S103" i="2"/>
  <c r="M103" i="2"/>
  <c r="L103" i="2"/>
  <c r="K103" i="2"/>
  <c r="R103" i="2"/>
  <c r="T103" i="2"/>
  <c r="AO103" i="2"/>
  <c r="AX103" i="2"/>
  <c r="AW102" i="2"/>
  <c r="AZ102" i="2"/>
  <c r="AY103" i="2"/>
  <c r="BA103" i="2"/>
  <c r="AK104" i="2"/>
  <c r="AH104" i="2"/>
  <c r="Y104" i="2"/>
  <c r="Z104" i="2"/>
  <c r="AA104" i="2"/>
  <c r="AB104" i="2"/>
  <c r="X104" i="2"/>
  <c r="W104" i="2"/>
  <c r="AL104" i="2"/>
  <c r="AD104" i="2"/>
  <c r="AC104" i="2"/>
  <c r="AE104" i="2"/>
  <c r="AM104" i="2"/>
  <c r="AN104" i="2"/>
  <c r="P104" i="2"/>
  <c r="Q104" i="2"/>
  <c r="G104" i="2"/>
  <c r="J104" i="2"/>
  <c r="F104" i="2"/>
  <c r="I104" i="2"/>
  <c r="S104" i="2"/>
  <c r="M104" i="2"/>
  <c r="L104" i="2"/>
  <c r="K104" i="2"/>
  <c r="R104" i="2"/>
  <c r="T104" i="2"/>
  <c r="AO104" i="2"/>
  <c r="AX104" i="2"/>
  <c r="AW103" i="2"/>
  <c r="AZ103" i="2"/>
  <c r="AY104" i="2"/>
  <c r="BA104" i="2"/>
  <c r="AK105" i="2"/>
  <c r="AH105" i="2"/>
  <c r="Y105" i="2"/>
  <c r="Z105" i="2"/>
  <c r="AA105" i="2"/>
  <c r="AB105" i="2"/>
  <c r="X105" i="2"/>
  <c r="W105" i="2"/>
  <c r="AL105" i="2"/>
  <c r="AD105" i="2"/>
  <c r="AC105" i="2"/>
  <c r="AE105" i="2"/>
  <c r="AM105" i="2"/>
  <c r="AN105" i="2"/>
  <c r="P105" i="2"/>
  <c r="Q105" i="2"/>
  <c r="G105" i="2"/>
  <c r="J105" i="2"/>
  <c r="F105" i="2"/>
  <c r="I105" i="2"/>
  <c r="S105" i="2"/>
  <c r="M105" i="2"/>
  <c r="L105" i="2"/>
  <c r="K105" i="2"/>
  <c r="R105" i="2"/>
  <c r="T105" i="2"/>
  <c r="AO105" i="2"/>
  <c r="AX105" i="2"/>
  <c r="AW104" i="2"/>
  <c r="AZ104" i="2"/>
  <c r="AY105" i="2"/>
  <c r="BA105" i="2"/>
  <c r="AK106" i="2"/>
  <c r="AH106" i="2"/>
  <c r="Y106" i="2"/>
  <c r="Z106" i="2"/>
  <c r="AA106" i="2"/>
  <c r="AB106" i="2"/>
  <c r="X106" i="2"/>
  <c r="W106" i="2"/>
  <c r="AL106" i="2"/>
  <c r="AD106" i="2"/>
  <c r="AC106" i="2"/>
  <c r="AE106" i="2"/>
  <c r="AM106" i="2"/>
  <c r="AN106" i="2"/>
  <c r="P106" i="2"/>
  <c r="Q106" i="2"/>
  <c r="G106" i="2"/>
  <c r="J106" i="2"/>
  <c r="F106" i="2"/>
  <c r="I106" i="2"/>
  <c r="S106" i="2"/>
  <c r="M106" i="2"/>
  <c r="L106" i="2"/>
  <c r="K106" i="2"/>
  <c r="R106" i="2"/>
  <c r="T106" i="2"/>
  <c r="AO106" i="2"/>
  <c r="AX106" i="2"/>
  <c r="AW105" i="2"/>
  <c r="AZ105" i="2"/>
  <c r="AY106" i="2"/>
  <c r="BA106" i="2"/>
  <c r="AK107" i="2"/>
  <c r="AH107" i="2"/>
  <c r="Y107" i="2"/>
  <c r="Z107" i="2"/>
  <c r="AA107" i="2"/>
  <c r="AB107" i="2"/>
  <c r="X107" i="2"/>
  <c r="W107" i="2"/>
  <c r="AL107" i="2"/>
  <c r="AD107" i="2"/>
  <c r="AC107" i="2"/>
  <c r="AE107" i="2"/>
  <c r="AM107" i="2"/>
  <c r="AN107" i="2"/>
  <c r="P107" i="2"/>
  <c r="Q107" i="2"/>
  <c r="G107" i="2"/>
  <c r="J107" i="2"/>
  <c r="F107" i="2"/>
  <c r="I107" i="2"/>
  <c r="S107" i="2"/>
  <c r="M107" i="2"/>
  <c r="L107" i="2"/>
  <c r="K107" i="2"/>
  <c r="R107" i="2"/>
  <c r="T107" i="2"/>
  <c r="AO107" i="2"/>
  <c r="AX107" i="2"/>
  <c r="AW106" i="2"/>
  <c r="AZ106" i="2"/>
  <c r="AY107" i="2"/>
  <c r="BA107" i="2"/>
  <c r="AK108" i="2"/>
  <c r="AH108" i="2"/>
  <c r="Y108" i="2"/>
  <c r="Z108" i="2"/>
  <c r="AA108" i="2"/>
  <c r="AB108" i="2"/>
  <c r="X108" i="2"/>
  <c r="W108" i="2"/>
  <c r="AL108" i="2"/>
  <c r="AD108" i="2"/>
  <c r="AC108" i="2"/>
  <c r="AE108" i="2"/>
  <c r="AM108" i="2"/>
  <c r="AN108" i="2"/>
  <c r="P108" i="2"/>
  <c r="Q108" i="2"/>
  <c r="G108" i="2"/>
  <c r="J108" i="2"/>
  <c r="F108" i="2"/>
  <c r="I108" i="2"/>
  <c r="S108" i="2"/>
  <c r="M108" i="2"/>
  <c r="L108" i="2"/>
  <c r="K108" i="2"/>
  <c r="R108" i="2"/>
  <c r="T108" i="2"/>
  <c r="AO108" i="2"/>
  <c r="AX108" i="2"/>
  <c r="AW107" i="2"/>
  <c r="AZ107" i="2"/>
  <c r="AY108" i="2"/>
  <c r="BA108" i="2"/>
  <c r="AK109" i="2"/>
  <c r="AH109" i="2"/>
  <c r="Y109" i="2"/>
  <c r="Z109" i="2"/>
  <c r="AA109" i="2"/>
  <c r="AB109" i="2"/>
  <c r="X109" i="2"/>
  <c r="W109" i="2"/>
  <c r="AL109" i="2"/>
  <c r="AD109" i="2"/>
  <c r="AC109" i="2"/>
  <c r="AE109" i="2"/>
  <c r="AM109" i="2"/>
  <c r="AN109" i="2"/>
  <c r="P109" i="2"/>
  <c r="Q109" i="2"/>
  <c r="G109" i="2"/>
  <c r="J109" i="2"/>
  <c r="F109" i="2"/>
  <c r="I109" i="2"/>
  <c r="S109" i="2"/>
  <c r="M109" i="2"/>
  <c r="L109" i="2"/>
  <c r="K109" i="2"/>
  <c r="R109" i="2"/>
  <c r="T109" i="2"/>
  <c r="AO109" i="2"/>
  <c r="AX109" i="2"/>
  <c r="AW108" i="2"/>
  <c r="AZ108" i="2"/>
  <c r="AY109" i="2"/>
  <c r="BA109" i="2"/>
  <c r="AK110" i="2"/>
  <c r="AH110" i="2"/>
  <c r="Y110" i="2"/>
  <c r="Z110" i="2"/>
  <c r="AA110" i="2"/>
  <c r="AB110" i="2"/>
  <c r="X110" i="2"/>
  <c r="W110" i="2"/>
  <c r="AL110" i="2"/>
  <c r="AD110" i="2"/>
  <c r="AC110" i="2"/>
  <c r="AE110" i="2"/>
  <c r="AM110" i="2"/>
  <c r="AN110" i="2"/>
  <c r="P110" i="2"/>
  <c r="Q110" i="2"/>
  <c r="G110" i="2"/>
  <c r="J110" i="2"/>
  <c r="F110" i="2"/>
  <c r="I110" i="2"/>
  <c r="S110" i="2"/>
  <c r="M110" i="2"/>
  <c r="L110" i="2"/>
  <c r="K110" i="2"/>
  <c r="R110" i="2"/>
  <c r="T110" i="2"/>
  <c r="AO110" i="2"/>
  <c r="AX110" i="2"/>
  <c r="AW109" i="2"/>
  <c r="AZ109" i="2"/>
  <c r="AY110" i="2"/>
  <c r="BA110" i="2"/>
  <c r="AK111" i="2"/>
  <c r="AH111" i="2"/>
  <c r="Y111" i="2"/>
  <c r="Z111" i="2"/>
  <c r="AA111" i="2"/>
  <c r="AB111" i="2"/>
  <c r="X111" i="2"/>
  <c r="W111" i="2"/>
  <c r="AL111" i="2"/>
  <c r="AD111" i="2"/>
  <c r="AC111" i="2"/>
  <c r="AE111" i="2"/>
  <c r="AM111" i="2"/>
  <c r="AN111" i="2"/>
  <c r="P111" i="2"/>
  <c r="Q111" i="2"/>
  <c r="G111" i="2"/>
  <c r="J111" i="2"/>
  <c r="F111" i="2"/>
  <c r="I111" i="2"/>
  <c r="S111" i="2"/>
  <c r="M111" i="2"/>
  <c r="L111" i="2"/>
  <c r="K111" i="2"/>
  <c r="R111" i="2"/>
  <c r="T111" i="2"/>
  <c r="AO111" i="2"/>
  <c r="AX111" i="2"/>
  <c r="AW110" i="2"/>
  <c r="AZ110" i="2"/>
  <c r="AY111" i="2"/>
  <c r="BA111" i="2"/>
  <c r="AK112" i="2"/>
  <c r="AH112" i="2"/>
  <c r="Y112" i="2"/>
  <c r="Z112" i="2"/>
  <c r="AA112" i="2"/>
  <c r="AB112" i="2"/>
  <c r="X112" i="2"/>
  <c r="W112" i="2"/>
  <c r="AL112" i="2"/>
  <c r="AD112" i="2"/>
  <c r="AC112" i="2"/>
  <c r="AE112" i="2"/>
  <c r="AM112" i="2"/>
  <c r="AN112" i="2"/>
  <c r="P112" i="2"/>
  <c r="Q112" i="2"/>
  <c r="G112" i="2"/>
  <c r="J112" i="2"/>
  <c r="F112" i="2"/>
  <c r="I112" i="2"/>
  <c r="S112" i="2"/>
  <c r="M112" i="2"/>
  <c r="L112" i="2"/>
  <c r="K112" i="2"/>
  <c r="R112" i="2"/>
  <c r="T112" i="2"/>
  <c r="AO112" i="2"/>
  <c r="AX112" i="2"/>
  <c r="AW111" i="2"/>
  <c r="AZ111" i="2"/>
  <c r="AY112" i="2"/>
  <c r="BA112" i="2"/>
  <c r="AK113" i="2"/>
  <c r="AH113" i="2"/>
  <c r="Y113" i="2"/>
  <c r="Z113" i="2"/>
  <c r="AA113" i="2"/>
  <c r="AB113" i="2"/>
  <c r="X113" i="2"/>
  <c r="W113" i="2"/>
  <c r="AL113" i="2"/>
  <c r="AD113" i="2"/>
  <c r="AC113" i="2"/>
  <c r="AE113" i="2"/>
  <c r="AM113" i="2"/>
  <c r="AN113" i="2"/>
  <c r="P113" i="2"/>
  <c r="Q113" i="2"/>
  <c r="G113" i="2"/>
  <c r="J113" i="2"/>
  <c r="F113" i="2"/>
  <c r="I113" i="2"/>
  <c r="S113" i="2"/>
  <c r="M113" i="2"/>
  <c r="L113" i="2"/>
  <c r="K113" i="2"/>
  <c r="R113" i="2"/>
  <c r="T113" i="2"/>
  <c r="AO113" i="2"/>
  <c r="AX113" i="2"/>
  <c r="AW112" i="2"/>
  <c r="AZ112" i="2"/>
  <c r="AY113" i="2"/>
  <c r="BA113" i="2"/>
  <c r="AK114" i="2"/>
  <c r="AH114" i="2"/>
  <c r="Y114" i="2"/>
  <c r="Z114" i="2"/>
  <c r="AA114" i="2"/>
  <c r="AB114" i="2"/>
  <c r="X114" i="2"/>
  <c r="W114" i="2"/>
  <c r="AL114" i="2"/>
  <c r="AD114" i="2"/>
  <c r="AC114" i="2"/>
  <c r="AE114" i="2"/>
  <c r="AM114" i="2"/>
  <c r="AN114" i="2"/>
  <c r="P114" i="2"/>
  <c r="Q114" i="2"/>
  <c r="G114" i="2"/>
  <c r="J114" i="2"/>
  <c r="F114" i="2"/>
  <c r="I114" i="2"/>
  <c r="S114" i="2"/>
  <c r="M114" i="2"/>
  <c r="L114" i="2"/>
  <c r="K114" i="2"/>
  <c r="R114" i="2"/>
  <c r="T114" i="2"/>
  <c r="AO114" i="2"/>
  <c r="AX114" i="2"/>
  <c r="AW113" i="2"/>
  <c r="AZ113" i="2"/>
  <c r="AY114" i="2"/>
  <c r="BA114" i="2"/>
  <c r="AK115" i="2"/>
  <c r="AH115" i="2"/>
  <c r="Y115" i="2"/>
  <c r="Z115" i="2"/>
  <c r="AA115" i="2"/>
  <c r="AB115" i="2"/>
  <c r="X115" i="2"/>
  <c r="W115" i="2"/>
  <c r="AL115" i="2"/>
  <c r="AD115" i="2"/>
  <c r="AC115" i="2"/>
  <c r="AE115" i="2"/>
  <c r="AM115" i="2"/>
  <c r="AN115" i="2"/>
  <c r="P115" i="2"/>
  <c r="Q115" i="2"/>
  <c r="G115" i="2"/>
  <c r="J115" i="2"/>
  <c r="F115" i="2"/>
  <c r="I115" i="2"/>
  <c r="S115" i="2"/>
  <c r="M115" i="2"/>
  <c r="L115" i="2"/>
  <c r="K115" i="2"/>
  <c r="R115" i="2"/>
  <c r="T115" i="2"/>
  <c r="AO115" i="2"/>
  <c r="AX115" i="2"/>
  <c r="AW114" i="2"/>
  <c r="AZ114" i="2"/>
  <c r="AY115" i="2"/>
  <c r="BA115" i="2"/>
  <c r="AK116" i="2"/>
  <c r="AH116" i="2"/>
  <c r="Y116" i="2"/>
  <c r="Z116" i="2"/>
  <c r="AA116" i="2"/>
  <c r="AB116" i="2"/>
  <c r="X116" i="2"/>
  <c r="W116" i="2"/>
  <c r="AL116" i="2"/>
  <c r="AD116" i="2"/>
  <c r="AC116" i="2"/>
  <c r="AE116" i="2"/>
  <c r="AM116" i="2"/>
  <c r="AN116" i="2"/>
  <c r="P116" i="2"/>
  <c r="Q116" i="2"/>
  <c r="G116" i="2"/>
  <c r="J116" i="2"/>
  <c r="F116" i="2"/>
  <c r="I116" i="2"/>
  <c r="S116" i="2"/>
  <c r="M116" i="2"/>
  <c r="L116" i="2"/>
  <c r="K116" i="2"/>
  <c r="R116" i="2"/>
  <c r="T116" i="2"/>
  <c r="AO116" i="2"/>
  <c r="AX116" i="2"/>
  <c r="AW115" i="2"/>
  <c r="AZ115" i="2"/>
  <c r="AY116" i="2"/>
  <c r="BA116" i="2"/>
  <c r="AK117" i="2"/>
  <c r="AH117" i="2"/>
  <c r="Y117" i="2"/>
  <c r="Z117" i="2"/>
  <c r="AA117" i="2"/>
  <c r="AB117" i="2"/>
  <c r="X117" i="2"/>
  <c r="W117" i="2"/>
  <c r="AL117" i="2"/>
  <c r="AD117" i="2"/>
  <c r="AC117" i="2"/>
  <c r="AE117" i="2"/>
  <c r="AM117" i="2"/>
  <c r="AN117" i="2"/>
  <c r="P117" i="2"/>
  <c r="Q117" i="2"/>
  <c r="G117" i="2"/>
  <c r="J117" i="2"/>
  <c r="F117" i="2"/>
  <c r="I117" i="2"/>
  <c r="S117" i="2"/>
  <c r="M117" i="2"/>
  <c r="L117" i="2"/>
  <c r="K117" i="2"/>
  <c r="R117" i="2"/>
  <c r="T117" i="2"/>
  <c r="AO117" i="2"/>
  <c r="AX117" i="2"/>
  <c r="AW116" i="2"/>
  <c r="AZ116" i="2"/>
  <c r="AY117" i="2"/>
  <c r="BA117" i="2"/>
  <c r="AK118" i="2"/>
  <c r="AH118" i="2"/>
  <c r="Y118" i="2"/>
  <c r="Z118" i="2"/>
  <c r="AA118" i="2"/>
  <c r="AB118" i="2"/>
  <c r="X118" i="2"/>
  <c r="W118" i="2"/>
  <c r="AL118" i="2"/>
  <c r="AD118" i="2"/>
  <c r="AC118" i="2"/>
  <c r="AE118" i="2"/>
  <c r="AM118" i="2"/>
  <c r="AN118" i="2"/>
  <c r="P118" i="2"/>
  <c r="Q118" i="2"/>
  <c r="G118" i="2"/>
  <c r="J118" i="2"/>
  <c r="F118" i="2"/>
  <c r="I118" i="2"/>
  <c r="S118" i="2"/>
  <c r="M118" i="2"/>
  <c r="L118" i="2"/>
  <c r="K118" i="2"/>
  <c r="R118" i="2"/>
  <c r="T118" i="2"/>
  <c r="AO118" i="2"/>
  <c r="AX118" i="2"/>
  <c r="AW117" i="2"/>
  <c r="AZ117" i="2"/>
  <c r="AY118" i="2"/>
  <c r="BA118" i="2"/>
  <c r="AK119" i="2"/>
  <c r="AH119" i="2"/>
  <c r="Y119" i="2"/>
  <c r="Z119" i="2"/>
  <c r="AA119" i="2"/>
  <c r="AB119" i="2"/>
  <c r="X119" i="2"/>
  <c r="W119" i="2"/>
  <c r="AL119" i="2"/>
  <c r="AD119" i="2"/>
  <c r="AC119" i="2"/>
  <c r="AE119" i="2"/>
  <c r="AM119" i="2"/>
  <c r="AN119" i="2"/>
  <c r="P119" i="2"/>
  <c r="Q119" i="2"/>
  <c r="G119" i="2"/>
  <c r="J119" i="2"/>
  <c r="F119" i="2"/>
  <c r="I119" i="2"/>
  <c r="S119" i="2"/>
  <c r="M119" i="2"/>
  <c r="L119" i="2"/>
  <c r="K119" i="2"/>
  <c r="R119" i="2"/>
  <c r="T119" i="2"/>
  <c r="AO119" i="2"/>
  <c r="AX119" i="2"/>
  <c r="AW118" i="2"/>
  <c r="AZ118" i="2"/>
  <c r="AY119" i="2"/>
  <c r="BA119" i="2"/>
  <c r="AK120" i="2"/>
  <c r="AH120" i="2"/>
  <c r="Y120" i="2"/>
  <c r="Z120" i="2"/>
  <c r="AA120" i="2"/>
  <c r="AB120" i="2"/>
  <c r="X120" i="2"/>
  <c r="W120" i="2"/>
  <c r="AL120" i="2"/>
  <c r="AD120" i="2"/>
  <c r="AC120" i="2"/>
  <c r="AE120" i="2"/>
  <c r="AM120" i="2"/>
  <c r="AN120" i="2"/>
  <c r="P120" i="2"/>
  <c r="Q120" i="2"/>
  <c r="G120" i="2"/>
  <c r="J120" i="2"/>
  <c r="F120" i="2"/>
  <c r="I120" i="2"/>
  <c r="S120" i="2"/>
  <c r="M120" i="2"/>
  <c r="L120" i="2"/>
  <c r="K120" i="2"/>
  <c r="R120" i="2"/>
  <c r="T120" i="2"/>
  <c r="AO120" i="2"/>
  <c r="AX120" i="2"/>
  <c r="AW119" i="2"/>
  <c r="AZ119" i="2"/>
  <c r="AY120" i="2"/>
  <c r="BA120" i="2"/>
  <c r="AK121" i="2"/>
  <c r="AH121" i="2"/>
  <c r="Y121" i="2"/>
  <c r="Z121" i="2"/>
  <c r="AA121" i="2"/>
  <c r="AB121" i="2"/>
  <c r="X121" i="2"/>
  <c r="W121" i="2"/>
  <c r="AL121" i="2"/>
  <c r="AD121" i="2"/>
  <c r="AC121" i="2"/>
  <c r="AE121" i="2"/>
  <c r="AM121" i="2"/>
  <c r="AN121" i="2"/>
  <c r="P121" i="2"/>
  <c r="Q121" i="2"/>
  <c r="G121" i="2"/>
  <c r="J121" i="2"/>
  <c r="F121" i="2"/>
  <c r="I121" i="2"/>
  <c r="S121" i="2"/>
  <c r="M121" i="2"/>
  <c r="L121" i="2"/>
  <c r="K121" i="2"/>
  <c r="R121" i="2"/>
  <c r="T121" i="2"/>
  <c r="AO121" i="2"/>
  <c r="AX121" i="2"/>
  <c r="AW120" i="2"/>
  <c r="AZ120" i="2"/>
  <c r="AY121" i="2"/>
  <c r="BA121" i="2"/>
  <c r="AK122" i="2"/>
  <c r="AH122" i="2"/>
  <c r="Y122" i="2"/>
  <c r="Z122" i="2"/>
  <c r="AA122" i="2"/>
  <c r="AB122" i="2"/>
  <c r="X122" i="2"/>
  <c r="W122" i="2"/>
  <c r="AL122" i="2"/>
  <c r="AD122" i="2"/>
  <c r="AC122" i="2"/>
  <c r="AE122" i="2"/>
  <c r="AM122" i="2"/>
  <c r="AN122" i="2"/>
  <c r="P122" i="2"/>
  <c r="Q122" i="2"/>
  <c r="G122" i="2"/>
  <c r="J122" i="2"/>
  <c r="F122" i="2"/>
  <c r="I122" i="2"/>
  <c r="S122" i="2"/>
  <c r="M122" i="2"/>
  <c r="L122" i="2"/>
  <c r="K122" i="2"/>
  <c r="R122" i="2"/>
  <c r="T122" i="2"/>
  <c r="AO122" i="2"/>
  <c r="AX122" i="2"/>
  <c r="AW121" i="2"/>
  <c r="AZ121" i="2"/>
  <c r="AY122" i="2"/>
  <c r="BA122" i="2"/>
  <c r="AK123" i="2"/>
  <c r="AH123" i="2"/>
  <c r="Y123" i="2"/>
  <c r="Z123" i="2"/>
  <c r="AA123" i="2"/>
  <c r="AB123" i="2"/>
  <c r="X123" i="2"/>
  <c r="W123" i="2"/>
  <c r="AL123" i="2"/>
  <c r="AD123" i="2"/>
  <c r="AC123" i="2"/>
  <c r="AE123" i="2"/>
  <c r="AM123" i="2"/>
  <c r="AN123" i="2"/>
  <c r="P123" i="2"/>
  <c r="Q123" i="2"/>
  <c r="G123" i="2"/>
  <c r="J123" i="2"/>
  <c r="F123" i="2"/>
  <c r="I123" i="2"/>
  <c r="S123" i="2"/>
  <c r="M123" i="2"/>
  <c r="L123" i="2"/>
  <c r="K123" i="2"/>
  <c r="R123" i="2"/>
  <c r="T123" i="2"/>
  <c r="AO123" i="2"/>
  <c r="AX123" i="2"/>
  <c r="AW122" i="2"/>
  <c r="AZ122" i="2"/>
  <c r="AY123" i="2"/>
  <c r="BA123" i="2"/>
  <c r="AK124" i="2"/>
  <c r="AH124" i="2"/>
  <c r="Y124" i="2"/>
  <c r="Z124" i="2"/>
  <c r="AA124" i="2"/>
  <c r="AB124" i="2"/>
  <c r="X124" i="2"/>
  <c r="W124" i="2"/>
  <c r="AL124" i="2"/>
  <c r="AD124" i="2"/>
  <c r="AC124" i="2"/>
  <c r="AE124" i="2"/>
  <c r="AM124" i="2"/>
  <c r="AN124" i="2"/>
  <c r="P124" i="2"/>
  <c r="Q124" i="2"/>
  <c r="G124" i="2"/>
  <c r="J124" i="2"/>
  <c r="F124" i="2"/>
  <c r="I124" i="2"/>
  <c r="S124" i="2"/>
  <c r="M124" i="2"/>
  <c r="L124" i="2"/>
  <c r="K124" i="2"/>
  <c r="R124" i="2"/>
  <c r="T124" i="2"/>
  <c r="AO124" i="2"/>
  <c r="AX124" i="2"/>
  <c r="AW123" i="2"/>
  <c r="AZ123" i="2"/>
  <c r="AY124" i="2"/>
  <c r="BA124" i="2"/>
  <c r="AK125" i="2"/>
  <c r="AH125" i="2"/>
  <c r="Y125" i="2"/>
  <c r="Z125" i="2"/>
  <c r="AA125" i="2"/>
  <c r="AB125" i="2"/>
  <c r="X125" i="2"/>
  <c r="W125" i="2"/>
  <c r="AL125" i="2"/>
  <c r="AD125" i="2"/>
  <c r="AC125" i="2"/>
  <c r="AE125" i="2"/>
  <c r="AM125" i="2"/>
  <c r="AN125" i="2"/>
  <c r="P125" i="2"/>
  <c r="Q125" i="2"/>
  <c r="G125" i="2"/>
  <c r="J125" i="2"/>
  <c r="F125" i="2"/>
  <c r="I125" i="2"/>
  <c r="S125" i="2"/>
  <c r="M125" i="2"/>
  <c r="L125" i="2"/>
  <c r="K125" i="2"/>
  <c r="R125" i="2"/>
  <c r="T125" i="2"/>
  <c r="AO125" i="2"/>
  <c r="AX125" i="2"/>
  <c r="AW124" i="2"/>
  <c r="AZ124" i="2"/>
  <c r="AY125" i="2"/>
  <c r="BA125" i="2"/>
  <c r="AK126" i="2"/>
  <c r="AH126" i="2"/>
  <c r="Y126" i="2"/>
  <c r="Z126" i="2"/>
  <c r="AA126" i="2"/>
  <c r="AB126" i="2"/>
  <c r="X126" i="2"/>
  <c r="W126" i="2"/>
  <c r="AL126" i="2"/>
  <c r="AD126" i="2"/>
  <c r="AC126" i="2"/>
  <c r="AE126" i="2"/>
  <c r="AM126" i="2"/>
  <c r="AN126" i="2"/>
  <c r="P126" i="2"/>
  <c r="Q126" i="2"/>
  <c r="G126" i="2"/>
  <c r="J126" i="2"/>
  <c r="F126" i="2"/>
  <c r="I126" i="2"/>
  <c r="S126" i="2"/>
  <c r="M126" i="2"/>
  <c r="L126" i="2"/>
  <c r="K126" i="2"/>
  <c r="R126" i="2"/>
  <c r="T126" i="2"/>
  <c r="AO126" i="2"/>
  <c r="AX126" i="2"/>
  <c r="AW125" i="2"/>
  <c r="AZ125" i="2"/>
  <c r="AY126" i="2"/>
  <c r="BA126" i="2"/>
  <c r="AK127" i="2"/>
  <c r="AH127" i="2"/>
  <c r="Y127" i="2"/>
  <c r="Z127" i="2"/>
  <c r="AA127" i="2"/>
  <c r="AB127" i="2"/>
  <c r="X127" i="2"/>
  <c r="W127" i="2"/>
  <c r="AL127" i="2"/>
  <c r="AD127" i="2"/>
  <c r="AC127" i="2"/>
  <c r="AE127" i="2"/>
  <c r="AM127" i="2"/>
  <c r="AN127" i="2"/>
  <c r="P127" i="2"/>
  <c r="Q127" i="2"/>
  <c r="G127" i="2"/>
  <c r="J127" i="2"/>
  <c r="F127" i="2"/>
  <c r="I127" i="2"/>
  <c r="S127" i="2"/>
  <c r="M127" i="2"/>
  <c r="L127" i="2"/>
  <c r="K127" i="2"/>
  <c r="R127" i="2"/>
  <c r="T127" i="2"/>
  <c r="AO127" i="2"/>
  <c r="AX127" i="2"/>
  <c r="AW126" i="2"/>
  <c r="AZ126" i="2"/>
  <c r="AY127" i="2"/>
  <c r="BA127" i="2"/>
  <c r="AK128" i="2"/>
  <c r="AH128" i="2"/>
  <c r="Y128" i="2"/>
  <c r="Z128" i="2"/>
  <c r="AA128" i="2"/>
  <c r="AB128" i="2"/>
  <c r="X128" i="2"/>
  <c r="W128" i="2"/>
  <c r="AL128" i="2"/>
  <c r="AD128" i="2"/>
  <c r="AC128" i="2"/>
  <c r="AE128" i="2"/>
  <c r="AM128" i="2"/>
  <c r="AN128" i="2"/>
  <c r="P128" i="2"/>
  <c r="Q128" i="2"/>
  <c r="G128" i="2"/>
  <c r="J128" i="2"/>
  <c r="F128" i="2"/>
  <c r="I128" i="2"/>
  <c r="S128" i="2"/>
  <c r="M128" i="2"/>
  <c r="L128" i="2"/>
  <c r="K128" i="2"/>
  <c r="R128" i="2"/>
  <c r="T128" i="2"/>
  <c r="AO128" i="2"/>
  <c r="AX128" i="2"/>
  <c r="AW127" i="2"/>
  <c r="AZ127" i="2"/>
  <c r="AY128" i="2"/>
  <c r="BA128" i="2"/>
  <c r="AK129" i="2"/>
  <c r="AH129" i="2"/>
  <c r="Y129" i="2"/>
  <c r="Z129" i="2"/>
  <c r="AA129" i="2"/>
  <c r="AB129" i="2"/>
  <c r="X129" i="2"/>
  <c r="W129" i="2"/>
  <c r="AL129" i="2"/>
  <c r="AD129" i="2"/>
  <c r="AC129" i="2"/>
  <c r="AE129" i="2"/>
  <c r="AM129" i="2"/>
  <c r="AN129" i="2"/>
  <c r="P129" i="2"/>
  <c r="Q129" i="2"/>
  <c r="G129" i="2"/>
  <c r="J129" i="2"/>
  <c r="F129" i="2"/>
  <c r="I129" i="2"/>
  <c r="S129" i="2"/>
  <c r="M129" i="2"/>
  <c r="L129" i="2"/>
  <c r="K129" i="2"/>
  <c r="R129" i="2"/>
  <c r="T129" i="2"/>
  <c r="AO129" i="2"/>
  <c r="AX129" i="2"/>
  <c r="AW128" i="2"/>
  <c r="AZ128" i="2"/>
  <c r="AY129" i="2"/>
  <c r="BA129" i="2"/>
  <c r="AK130" i="2"/>
  <c r="AH130" i="2"/>
  <c r="Y130" i="2"/>
  <c r="Z130" i="2"/>
  <c r="AA130" i="2"/>
  <c r="AB130" i="2"/>
  <c r="X130" i="2"/>
  <c r="W130" i="2"/>
  <c r="AL130" i="2"/>
  <c r="AD130" i="2"/>
  <c r="AC130" i="2"/>
  <c r="AE130" i="2"/>
  <c r="AM130" i="2"/>
  <c r="AN130" i="2"/>
  <c r="P130" i="2"/>
  <c r="Q130" i="2"/>
  <c r="G130" i="2"/>
  <c r="J130" i="2"/>
  <c r="F130" i="2"/>
  <c r="I130" i="2"/>
  <c r="S130" i="2"/>
  <c r="M130" i="2"/>
  <c r="L130" i="2"/>
  <c r="K130" i="2"/>
  <c r="R130" i="2"/>
  <c r="T130" i="2"/>
  <c r="AO130" i="2"/>
  <c r="AX130" i="2"/>
  <c r="AW129" i="2"/>
  <c r="AZ129" i="2"/>
  <c r="AY130" i="2"/>
  <c r="BA130" i="2"/>
  <c r="AK131" i="2"/>
  <c r="AH131" i="2"/>
  <c r="Y131" i="2"/>
  <c r="Z131" i="2"/>
  <c r="AA131" i="2"/>
  <c r="AB131" i="2"/>
  <c r="X131" i="2"/>
  <c r="W131" i="2"/>
  <c r="AL131" i="2"/>
  <c r="AD131" i="2"/>
  <c r="AC131" i="2"/>
  <c r="AE131" i="2"/>
  <c r="AM131" i="2"/>
  <c r="AN131" i="2"/>
  <c r="P131" i="2"/>
  <c r="Q131" i="2"/>
  <c r="G131" i="2"/>
  <c r="J131" i="2"/>
  <c r="F131" i="2"/>
  <c r="I131" i="2"/>
  <c r="S131" i="2"/>
  <c r="M131" i="2"/>
  <c r="L131" i="2"/>
  <c r="K131" i="2"/>
  <c r="R131" i="2"/>
  <c r="T131" i="2"/>
  <c r="AO131" i="2"/>
  <c r="AX131" i="2"/>
  <c r="AW130" i="2"/>
  <c r="AZ130" i="2"/>
  <c r="AY131" i="2"/>
  <c r="BA131" i="2"/>
  <c r="AK132" i="2"/>
  <c r="AH132" i="2"/>
  <c r="Y132" i="2"/>
  <c r="Z132" i="2"/>
  <c r="AA132" i="2"/>
  <c r="AB132" i="2"/>
  <c r="X132" i="2"/>
  <c r="W132" i="2"/>
  <c r="AL132" i="2"/>
  <c r="AD132" i="2"/>
  <c r="AC132" i="2"/>
  <c r="AE132" i="2"/>
  <c r="AM132" i="2"/>
  <c r="AN132" i="2"/>
  <c r="P132" i="2"/>
  <c r="Q132" i="2"/>
  <c r="G132" i="2"/>
  <c r="J132" i="2"/>
  <c r="F132" i="2"/>
  <c r="I132" i="2"/>
  <c r="S132" i="2"/>
  <c r="M132" i="2"/>
  <c r="L132" i="2"/>
  <c r="K132" i="2"/>
  <c r="R132" i="2"/>
  <c r="T132" i="2"/>
  <c r="AO132" i="2"/>
  <c r="AX132" i="2"/>
  <c r="AW131" i="2"/>
  <c r="AZ131" i="2"/>
  <c r="AY132" i="2"/>
  <c r="BA132" i="2"/>
  <c r="AK133" i="2"/>
  <c r="AH133" i="2"/>
  <c r="Y133" i="2"/>
  <c r="Z133" i="2"/>
  <c r="AA133" i="2"/>
  <c r="AB133" i="2"/>
  <c r="X133" i="2"/>
  <c r="W133" i="2"/>
  <c r="AL133" i="2"/>
  <c r="AD133" i="2"/>
  <c r="AC133" i="2"/>
  <c r="AE133" i="2"/>
  <c r="AM133" i="2"/>
  <c r="AN133" i="2"/>
  <c r="P133" i="2"/>
  <c r="Q133" i="2"/>
  <c r="G133" i="2"/>
  <c r="J133" i="2"/>
  <c r="F133" i="2"/>
  <c r="I133" i="2"/>
  <c r="S133" i="2"/>
  <c r="M133" i="2"/>
  <c r="L133" i="2"/>
  <c r="K133" i="2"/>
  <c r="R133" i="2"/>
  <c r="T133" i="2"/>
  <c r="AO133" i="2"/>
  <c r="AX133" i="2"/>
  <c r="AW132" i="2"/>
  <c r="AZ132" i="2"/>
  <c r="AY133" i="2"/>
  <c r="BA133" i="2"/>
  <c r="AK134" i="2"/>
  <c r="AH134" i="2"/>
  <c r="Y134" i="2"/>
  <c r="Z134" i="2"/>
  <c r="AA134" i="2"/>
  <c r="AB134" i="2"/>
  <c r="X134" i="2"/>
  <c r="W134" i="2"/>
  <c r="AL134" i="2"/>
  <c r="AD134" i="2"/>
  <c r="AC134" i="2"/>
  <c r="AE134" i="2"/>
  <c r="AM134" i="2"/>
  <c r="AN134" i="2"/>
  <c r="P134" i="2"/>
  <c r="Q134" i="2"/>
  <c r="G134" i="2"/>
  <c r="J134" i="2"/>
  <c r="F134" i="2"/>
  <c r="I134" i="2"/>
  <c r="S134" i="2"/>
  <c r="M134" i="2"/>
  <c r="L134" i="2"/>
  <c r="K134" i="2"/>
  <c r="R134" i="2"/>
  <c r="T134" i="2"/>
  <c r="AO134" i="2"/>
  <c r="AX134" i="2"/>
  <c r="AW133" i="2"/>
  <c r="AZ133" i="2"/>
  <c r="AY134" i="2"/>
  <c r="BA134" i="2"/>
  <c r="AK135" i="2"/>
  <c r="AH135" i="2"/>
  <c r="Y135" i="2"/>
  <c r="Z135" i="2"/>
  <c r="AA135" i="2"/>
  <c r="AB135" i="2"/>
  <c r="X135" i="2"/>
  <c r="W135" i="2"/>
  <c r="AL135" i="2"/>
  <c r="AD135" i="2"/>
  <c r="AC135" i="2"/>
  <c r="AE135" i="2"/>
  <c r="AM135" i="2"/>
  <c r="AN135" i="2"/>
  <c r="P135" i="2"/>
  <c r="Q135" i="2"/>
  <c r="G135" i="2"/>
  <c r="J135" i="2"/>
  <c r="F135" i="2"/>
  <c r="I135" i="2"/>
  <c r="S135" i="2"/>
  <c r="M135" i="2"/>
  <c r="L135" i="2"/>
  <c r="K135" i="2"/>
  <c r="R135" i="2"/>
  <c r="T135" i="2"/>
  <c r="AO135" i="2"/>
  <c r="AX135" i="2"/>
  <c r="AW134" i="2"/>
  <c r="AZ134" i="2"/>
  <c r="AY135" i="2"/>
  <c r="BA135" i="2"/>
  <c r="AK136" i="2"/>
  <c r="AH136" i="2"/>
  <c r="Y136" i="2"/>
  <c r="Z136" i="2"/>
  <c r="AA136" i="2"/>
  <c r="AB136" i="2"/>
  <c r="X136" i="2"/>
  <c r="W136" i="2"/>
  <c r="AL136" i="2"/>
  <c r="AD136" i="2"/>
  <c r="AC136" i="2"/>
  <c r="AE136" i="2"/>
  <c r="AM136" i="2"/>
  <c r="AN136" i="2"/>
  <c r="P136" i="2"/>
  <c r="Q136" i="2"/>
  <c r="G136" i="2"/>
  <c r="J136" i="2"/>
  <c r="F136" i="2"/>
  <c r="I136" i="2"/>
  <c r="S136" i="2"/>
  <c r="M136" i="2"/>
  <c r="L136" i="2"/>
  <c r="K136" i="2"/>
  <c r="R136" i="2"/>
  <c r="T136" i="2"/>
  <c r="AO136" i="2"/>
  <c r="AX136" i="2"/>
  <c r="AW135" i="2"/>
  <c r="AZ135" i="2"/>
  <c r="AY136" i="2"/>
  <c r="BA136" i="2"/>
  <c r="AK137" i="2"/>
  <c r="AH137" i="2"/>
  <c r="Y137" i="2"/>
  <c r="Z137" i="2"/>
  <c r="AA137" i="2"/>
  <c r="AB137" i="2"/>
  <c r="X137" i="2"/>
  <c r="W137" i="2"/>
  <c r="AL137" i="2"/>
  <c r="AD137" i="2"/>
  <c r="AC137" i="2"/>
  <c r="AE137" i="2"/>
  <c r="AM137" i="2"/>
  <c r="AN137" i="2"/>
  <c r="P137" i="2"/>
  <c r="Q137" i="2"/>
  <c r="G137" i="2"/>
  <c r="J137" i="2"/>
  <c r="F137" i="2"/>
  <c r="I137" i="2"/>
  <c r="S137" i="2"/>
  <c r="M137" i="2"/>
  <c r="L137" i="2"/>
  <c r="K137" i="2"/>
  <c r="R137" i="2"/>
  <c r="T137" i="2"/>
  <c r="AO137" i="2"/>
  <c r="AX137" i="2"/>
  <c r="AW136" i="2"/>
  <c r="AZ136" i="2"/>
  <c r="AY137" i="2"/>
  <c r="BA137" i="2"/>
  <c r="AK138" i="2"/>
  <c r="AH138" i="2"/>
  <c r="Y138" i="2"/>
  <c r="Z138" i="2"/>
  <c r="AA138" i="2"/>
  <c r="AB138" i="2"/>
  <c r="X138" i="2"/>
  <c r="W138" i="2"/>
  <c r="AL138" i="2"/>
  <c r="AD138" i="2"/>
  <c r="AC138" i="2"/>
  <c r="AE138" i="2"/>
  <c r="AM138" i="2"/>
  <c r="AN138" i="2"/>
  <c r="P138" i="2"/>
  <c r="Q138" i="2"/>
  <c r="G138" i="2"/>
  <c r="J138" i="2"/>
  <c r="F138" i="2"/>
  <c r="I138" i="2"/>
  <c r="S138" i="2"/>
  <c r="M138" i="2"/>
  <c r="L138" i="2"/>
  <c r="K138" i="2"/>
  <c r="R138" i="2"/>
  <c r="T138" i="2"/>
  <c r="AO138" i="2"/>
  <c r="AX138" i="2"/>
  <c r="AW137" i="2"/>
  <c r="AZ137" i="2"/>
  <c r="AY138" i="2"/>
  <c r="BA138" i="2"/>
  <c r="AK139" i="2"/>
  <c r="AH139" i="2"/>
  <c r="Y139" i="2"/>
  <c r="Z139" i="2"/>
  <c r="AA139" i="2"/>
  <c r="AB139" i="2"/>
  <c r="X139" i="2"/>
  <c r="W139" i="2"/>
  <c r="AL139" i="2"/>
  <c r="AD139" i="2"/>
  <c r="AC139" i="2"/>
  <c r="AE139" i="2"/>
  <c r="AM139" i="2"/>
  <c r="AN139" i="2"/>
  <c r="P139" i="2"/>
  <c r="Q139" i="2"/>
  <c r="G139" i="2"/>
  <c r="J139" i="2"/>
  <c r="F139" i="2"/>
  <c r="I139" i="2"/>
  <c r="S139" i="2"/>
  <c r="M139" i="2"/>
  <c r="L139" i="2"/>
  <c r="K139" i="2"/>
  <c r="R139" i="2"/>
  <c r="T139" i="2"/>
  <c r="AO139" i="2"/>
  <c r="AX139" i="2"/>
  <c r="AW138" i="2"/>
  <c r="AZ138" i="2"/>
  <c r="AY139" i="2"/>
  <c r="BA139" i="2"/>
  <c r="AK140" i="2"/>
  <c r="AH140" i="2"/>
  <c r="Y140" i="2"/>
  <c r="Z140" i="2"/>
  <c r="AA140" i="2"/>
  <c r="AB140" i="2"/>
  <c r="X140" i="2"/>
  <c r="W140" i="2"/>
  <c r="AL140" i="2"/>
  <c r="AD140" i="2"/>
  <c r="AC140" i="2"/>
  <c r="AE140" i="2"/>
  <c r="AM140" i="2"/>
  <c r="AN140" i="2"/>
  <c r="P140" i="2"/>
  <c r="Q140" i="2"/>
  <c r="G140" i="2"/>
  <c r="J140" i="2"/>
  <c r="F140" i="2"/>
  <c r="I140" i="2"/>
  <c r="S140" i="2"/>
  <c r="M140" i="2"/>
  <c r="L140" i="2"/>
  <c r="K140" i="2"/>
  <c r="R140" i="2"/>
  <c r="T140" i="2"/>
  <c r="AO140" i="2"/>
  <c r="AX140" i="2"/>
  <c r="AW139" i="2"/>
  <c r="AZ139" i="2"/>
  <c r="AY140" i="2"/>
  <c r="BA140" i="2"/>
  <c r="AK141" i="2"/>
  <c r="AH141" i="2"/>
  <c r="Y141" i="2"/>
  <c r="Z141" i="2"/>
  <c r="AA141" i="2"/>
  <c r="AB141" i="2"/>
  <c r="X141" i="2"/>
  <c r="W141" i="2"/>
  <c r="AL141" i="2"/>
  <c r="AD141" i="2"/>
  <c r="AC141" i="2"/>
  <c r="AE141" i="2"/>
  <c r="AM141" i="2"/>
  <c r="AN141" i="2"/>
  <c r="P141" i="2"/>
  <c r="Q141" i="2"/>
  <c r="G141" i="2"/>
  <c r="J141" i="2"/>
  <c r="F141" i="2"/>
  <c r="I141" i="2"/>
  <c r="S141" i="2"/>
  <c r="M141" i="2"/>
  <c r="L141" i="2"/>
  <c r="K141" i="2"/>
  <c r="R141" i="2"/>
  <c r="T141" i="2"/>
  <c r="AO141" i="2"/>
  <c r="AX141" i="2"/>
  <c r="AW140" i="2"/>
  <c r="AZ140" i="2"/>
  <c r="AY141" i="2"/>
  <c r="BA141" i="2"/>
  <c r="AK142" i="2"/>
  <c r="AH142" i="2"/>
  <c r="Y142" i="2"/>
  <c r="Z142" i="2"/>
  <c r="AA142" i="2"/>
  <c r="AB142" i="2"/>
  <c r="X142" i="2"/>
  <c r="W142" i="2"/>
  <c r="AL142" i="2"/>
  <c r="AD142" i="2"/>
  <c r="AC142" i="2"/>
  <c r="AE142" i="2"/>
  <c r="AM142" i="2"/>
  <c r="AN142" i="2"/>
  <c r="P142" i="2"/>
  <c r="Q142" i="2"/>
  <c r="G142" i="2"/>
  <c r="J142" i="2"/>
  <c r="F142" i="2"/>
  <c r="I142" i="2"/>
  <c r="S142" i="2"/>
  <c r="M142" i="2"/>
  <c r="L142" i="2"/>
  <c r="K142" i="2"/>
  <c r="R142" i="2"/>
  <c r="T142" i="2"/>
  <c r="AO142" i="2"/>
  <c r="AX142" i="2"/>
  <c r="AW141" i="2"/>
  <c r="AZ141" i="2"/>
  <c r="AY142" i="2"/>
  <c r="BA142" i="2"/>
  <c r="AK143" i="2"/>
  <c r="AH143" i="2"/>
  <c r="Y143" i="2"/>
  <c r="Z143" i="2"/>
  <c r="AA143" i="2"/>
  <c r="AB143" i="2"/>
  <c r="X143" i="2"/>
  <c r="W143" i="2"/>
  <c r="AL143" i="2"/>
  <c r="AD143" i="2"/>
  <c r="AC143" i="2"/>
  <c r="AE143" i="2"/>
  <c r="AM143" i="2"/>
  <c r="AN143" i="2"/>
  <c r="P143" i="2"/>
  <c r="Q143" i="2"/>
  <c r="G143" i="2"/>
  <c r="J143" i="2"/>
  <c r="F143" i="2"/>
  <c r="I143" i="2"/>
  <c r="S143" i="2"/>
  <c r="M143" i="2"/>
  <c r="L143" i="2"/>
  <c r="K143" i="2"/>
  <c r="R143" i="2"/>
  <c r="T143" i="2"/>
  <c r="AO143" i="2"/>
  <c r="AX143" i="2"/>
  <c r="AW142" i="2"/>
  <c r="AZ142" i="2"/>
  <c r="AY143" i="2"/>
  <c r="BA143" i="2"/>
  <c r="AK144" i="2"/>
  <c r="AH144" i="2"/>
  <c r="Y144" i="2"/>
  <c r="Z144" i="2"/>
  <c r="AA144" i="2"/>
  <c r="AB144" i="2"/>
  <c r="X144" i="2"/>
  <c r="W144" i="2"/>
  <c r="AL144" i="2"/>
  <c r="AD144" i="2"/>
  <c r="AC144" i="2"/>
  <c r="AE144" i="2"/>
  <c r="AM144" i="2"/>
  <c r="AN144" i="2"/>
  <c r="P144" i="2"/>
  <c r="Q144" i="2"/>
  <c r="G144" i="2"/>
  <c r="J144" i="2"/>
  <c r="F144" i="2"/>
  <c r="I144" i="2"/>
  <c r="S144" i="2"/>
  <c r="M144" i="2"/>
  <c r="L144" i="2"/>
  <c r="K144" i="2"/>
  <c r="R144" i="2"/>
  <c r="T144" i="2"/>
  <c r="AO144" i="2"/>
  <c r="AX144" i="2"/>
  <c r="AW143" i="2"/>
  <c r="AZ143" i="2"/>
  <c r="AY144" i="2"/>
  <c r="BA144" i="2"/>
  <c r="AK145" i="2"/>
  <c r="AH145" i="2"/>
  <c r="Y145" i="2"/>
  <c r="Z145" i="2"/>
  <c r="AA145" i="2"/>
  <c r="AB145" i="2"/>
  <c r="X145" i="2"/>
  <c r="W145" i="2"/>
  <c r="AL145" i="2"/>
  <c r="AD145" i="2"/>
  <c r="AC145" i="2"/>
  <c r="AE145" i="2"/>
  <c r="AM145" i="2"/>
  <c r="AN145" i="2"/>
  <c r="P145" i="2"/>
  <c r="Q145" i="2"/>
  <c r="G145" i="2"/>
  <c r="J145" i="2"/>
  <c r="F145" i="2"/>
  <c r="I145" i="2"/>
  <c r="S145" i="2"/>
  <c r="M145" i="2"/>
  <c r="L145" i="2"/>
  <c r="K145" i="2"/>
  <c r="R145" i="2"/>
  <c r="T145" i="2"/>
  <c r="AO145" i="2"/>
  <c r="AX145" i="2"/>
  <c r="AW144" i="2"/>
  <c r="AZ144" i="2"/>
  <c r="AY145" i="2"/>
  <c r="BA145" i="2"/>
  <c r="AK146" i="2"/>
  <c r="AH146" i="2"/>
  <c r="Y146" i="2"/>
  <c r="Z146" i="2"/>
  <c r="AA146" i="2"/>
  <c r="AB146" i="2"/>
  <c r="X146" i="2"/>
  <c r="W146" i="2"/>
  <c r="AL146" i="2"/>
  <c r="AD146" i="2"/>
  <c r="AC146" i="2"/>
  <c r="AE146" i="2"/>
  <c r="AM146" i="2"/>
  <c r="AN146" i="2"/>
  <c r="P146" i="2"/>
  <c r="Q146" i="2"/>
  <c r="G146" i="2"/>
  <c r="J146" i="2"/>
  <c r="F146" i="2"/>
  <c r="I146" i="2"/>
  <c r="S146" i="2"/>
  <c r="M146" i="2"/>
  <c r="L146" i="2"/>
  <c r="K146" i="2"/>
  <c r="R146" i="2"/>
  <c r="T146" i="2"/>
  <c r="AO146" i="2"/>
  <c r="AX146" i="2"/>
  <c r="AW145" i="2"/>
  <c r="AZ145" i="2"/>
  <c r="AY146" i="2"/>
  <c r="BA146" i="2"/>
  <c r="AK147" i="2"/>
  <c r="AH147" i="2"/>
  <c r="Y147" i="2"/>
  <c r="Z147" i="2"/>
  <c r="AA147" i="2"/>
  <c r="AB147" i="2"/>
  <c r="X147" i="2"/>
  <c r="W147" i="2"/>
  <c r="AL147" i="2"/>
  <c r="AD147" i="2"/>
  <c r="AC147" i="2"/>
  <c r="AE147" i="2"/>
  <c r="AM147" i="2"/>
  <c r="AN147" i="2"/>
  <c r="P147" i="2"/>
  <c r="Q147" i="2"/>
  <c r="G147" i="2"/>
  <c r="J147" i="2"/>
  <c r="F147" i="2"/>
  <c r="I147" i="2"/>
  <c r="S147" i="2"/>
  <c r="M147" i="2"/>
  <c r="L147" i="2"/>
  <c r="K147" i="2"/>
  <c r="R147" i="2"/>
  <c r="T147" i="2"/>
  <c r="AO147" i="2"/>
  <c r="AX147" i="2"/>
  <c r="AW146" i="2"/>
  <c r="AZ146" i="2"/>
  <c r="AY147" i="2"/>
  <c r="BA147" i="2"/>
  <c r="AK148" i="2"/>
  <c r="AH148" i="2"/>
  <c r="Y148" i="2"/>
  <c r="Z148" i="2"/>
  <c r="AA148" i="2"/>
  <c r="AB148" i="2"/>
  <c r="X148" i="2"/>
  <c r="W148" i="2"/>
  <c r="AL148" i="2"/>
  <c r="AD148" i="2"/>
  <c r="AC148" i="2"/>
  <c r="AE148" i="2"/>
  <c r="AM148" i="2"/>
  <c r="AN148" i="2"/>
  <c r="P148" i="2"/>
  <c r="Q148" i="2"/>
  <c r="G148" i="2"/>
  <c r="J148" i="2"/>
  <c r="F148" i="2"/>
  <c r="I148" i="2"/>
  <c r="S148" i="2"/>
  <c r="M148" i="2"/>
  <c r="L148" i="2"/>
  <c r="K148" i="2"/>
  <c r="R148" i="2"/>
  <c r="T148" i="2"/>
  <c r="AO148" i="2"/>
  <c r="AX148" i="2"/>
  <c r="AW147" i="2"/>
  <c r="AZ147" i="2"/>
  <c r="AY148" i="2"/>
  <c r="BA148" i="2"/>
  <c r="AK149" i="2"/>
  <c r="AH149" i="2"/>
  <c r="Y149" i="2"/>
  <c r="Z149" i="2"/>
  <c r="AA149" i="2"/>
  <c r="AB149" i="2"/>
  <c r="X149" i="2"/>
  <c r="W149" i="2"/>
  <c r="AL149" i="2"/>
  <c r="AD149" i="2"/>
  <c r="AC149" i="2"/>
  <c r="AE149" i="2"/>
  <c r="AM149" i="2"/>
  <c r="AN149" i="2"/>
  <c r="P149" i="2"/>
  <c r="Q149" i="2"/>
  <c r="G149" i="2"/>
  <c r="J149" i="2"/>
  <c r="F149" i="2"/>
  <c r="I149" i="2"/>
  <c r="S149" i="2"/>
  <c r="M149" i="2"/>
  <c r="L149" i="2"/>
  <c r="K149" i="2"/>
  <c r="R149" i="2"/>
  <c r="T149" i="2"/>
  <c r="AO149" i="2"/>
  <c r="AX149" i="2"/>
  <c r="AW148" i="2"/>
  <c r="AZ148" i="2"/>
  <c r="AY149" i="2"/>
  <c r="BA149" i="2"/>
  <c r="AK150" i="2"/>
  <c r="AH150" i="2"/>
  <c r="Y150" i="2"/>
  <c r="Z150" i="2"/>
  <c r="AA150" i="2"/>
  <c r="AB150" i="2"/>
  <c r="X150" i="2"/>
  <c r="W150" i="2"/>
  <c r="AL150" i="2"/>
  <c r="AD150" i="2"/>
  <c r="AC150" i="2"/>
  <c r="AE150" i="2"/>
  <c r="AM150" i="2"/>
  <c r="AN150" i="2"/>
  <c r="P150" i="2"/>
  <c r="Q150" i="2"/>
  <c r="G150" i="2"/>
  <c r="J150" i="2"/>
  <c r="F150" i="2"/>
  <c r="I150" i="2"/>
  <c r="S150" i="2"/>
  <c r="M150" i="2"/>
  <c r="L150" i="2"/>
  <c r="K150" i="2"/>
  <c r="R150" i="2"/>
  <c r="T150" i="2"/>
  <c r="AO150" i="2"/>
  <c r="AX150" i="2"/>
  <c r="AW149" i="2"/>
  <c r="AZ149" i="2"/>
  <c r="AY150" i="2"/>
  <c r="BA150" i="2"/>
  <c r="AK151" i="2"/>
  <c r="AH151" i="2"/>
  <c r="Y151" i="2"/>
  <c r="Z151" i="2"/>
  <c r="AA151" i="2"/>
  <c r="AB151" i="2"/>
  <c r="X151" i="2"/>
  <c r="W151" i="2"/>
  <c r="AL151" i="2"/>
  <c r="AD151" i="2"/>
  <c r="AC151" i="2"/>
  <c r="AE151" i="2"/>
  <c r="AM151" i="2"/>
  <c r="AN151" i="2"/>
  <c r="P151" i="2"/>
  <c r="Q151" i="2"/>
  <c r="G151" i="2"/>
  <c r="J151" i="2"/>
  <c r="F151" i="2"/>
  <c r="I151" i="2"/>
  <c r="S151" i="2"/>
  <c r="M151" i="2"/>
  <c r="L151" i="2"/>
  <c r="K151" i="2"/>
  <c r="R151" i="2"/>
  <c r="T151" i="2"/>
  <c r="AO151" i="2"/>
  <c r="AX151" i="2"/>
  <c r="AW150" i="2"/>
  <c r="AZ150" i="2"/>
  <c r="AY151" i="2"/>
  <c r="BA151" i="2"/>
  <c r="AK152" i="2"/>
  <c r="AH152" i="2"/>
  <c r="Y152" i="2"/>
  <c r="Z152" i="2"/>
  <c r="AA152" i="2"/>
  <c r="AB152" i="2"/>
  <c r="X152" i="2"/>
  <c r="W152" i="2"/>
  <c r="AL152" i="2"/>
  <c r="AD152" i="2"/>
  <c r="AC152" i="2"/>
  <c r="AE152" i="2"/>
  <c r="AM152" i="2"/>
  <c r="AN152" i="2"/>
  <c r="P152" i="2"/>
  <c r="Q152" i="2"/>
  <c r="G152" i="2"/>
  <c r="J152" i="2"/>
  <c r="F152" i="2"/>
  <c r="I152" i="2"/>
  <c r="S152" i="2"/>
  <c r="M152" i="2"/>
  <c r="L152" i="2"/>
  <c r="K152" i="2"/>
  <c r="R152" i="2"/>
  <c r="T152" i="2"/>
  <c r="AO152" i="2"/>
  <c r="AX152" i="2"/>
  <c r="AW151" i="2"/>
  <c r="AZ151" i="2"/>
  <c r="AY152" i="2"/>
  <c r="BA152" i="2"/>
  <c r="AK153" i="2"/>
  <c r="AH153" i="2"/>
  <c r="Y153" i="2"/>
  <c r="Z153" i="2"/>
  <c r="AA153" i="2"/>
  <c r="AB153" i="2"/>
  <c r="X153" i="2"/>
  <c r="W153" i="2"/>
  <c r="AL153" i="2"/>
  <c r="AD153" i="2"/>
  <c r="AC153" i="2"/>
  <c r="AE153" i="2"/>
  <c r="AM153" i="2"/>
  <c r="AN153" i="2"/>
  <c r="P153" i="2"/>
  <c r="Q153" i="2"/>
  <c r="G153" i="2"/>
  <c r="J153" i="2"/>
  <c r="F153" i="2"/>
  <c r="I153" i="2"/>
  <c r="S153" i="2"/>
  <c r="M153" i="2"/>
  <c r="L153" i="2"/>
  <c r="K153" i="2"/>
  <c r="R153" i="2"/>
  <c r="T153" i="2"/>
  <c r="AO153" i="2"/>
  <c r="AX153" i="2"/>
  <c r="AW152" i="2"/>
  <c r="AZ152" i="2"/>
  <c r="AY153" i="2"/>
  <c r="BA153" i="2"/>
  <c r="AK154" i="2"/>
  <c r="AH154" i="2"/>
  <c r="Y154" i="2"/>
  <c r="Z154" i="2"/>
  <c r="AA154" i="2"/>
  <c r="AB154" i="2"/>
  <c r="X154" i="2"/>
  <c r="W154" i="2"/>
  <c r="AL154" i="2"/>
  <c r="AD154" i="2"/>
  <c r="AC154" i="2"/>
  <c r="AE154" i="2"/>
  <c r="AM154" i="2"/>
  <c r="AN154" i="2"/>
  <c r="P154" i="2"/>
  <c r="Q154" i="2"/>
  <c r="G154" i="2"/>
  <c r="J154" i="2"/>
  <c r="F154" i="2"/>
  <c r="I154" i="2"/>
  <c r="S154" i="2"/>
  <c r="M154" i="2"/>
  <c r="L154" i="2"/>
  <c r="K154" i="2"/>
  <c r="R154" i="2"/>
  <c r="T154" i="2"/>
  <c r="AO154" i="2"/>
  <c r="AX154" i="2"/>
  <c r="AW153" i="2"/>
  <c r="AZ153" i="2"/>
  <c r="AY154" i="2"/>
  <c r="BA154" i="2"/>
  <c r="AK155" i="2"/>
  <c r="AH155" i="2"/>
  <c r="Y155" i="2"/>
  <c r="Z155" i="2"/>
  <c r="AA155" i="2"/>
  <c r="AB155" i="2"/>
  <c r="X155" i="2"/>
  <c r="W155" i="2"/>
  <c r="AL155" i="2"/>
  <c r="AD155" i="2"/>
  <c r="AC155" i="2"/>
  <c r="AE155" i="2"/>
  <c r="AM155" i="2"/>
  <c r="AN155" i="2"/>
  <c r="P155" i="2"/>
  <c r="Q155" i="2"/>
  <c r="G155" i="2"/>
  <c r="J155" i="2"/>
  <c r="F155" i="2"/>
  <c r="I155" i="2"/>
  <c r="S155" i="2"/>
  <c r="M155" i="2"/>
  <c r="L155" i="2"/>
  <c r="K155" i="2"/>
  <c r="R155" i="2"/>
  <c r="T155" i="2"/>
  <c r="AO155" i="2"/>
  <c r="AX155" i="2"/>
  <c r="AW154" i="2"/>
  <c r="AZ154" i="2"/>
  <c r="AY155" i="2"/>
  <c r="BA155" i="2"/>
  <c r="AK156" i="2"/>
  <c r="AH156" i="2"/>
  <c r="Y156" i="2"/>
  <c r="Z156" i="2"/>
  <c r="AA156" i="2"/>
  <c r="AB156" i="2"/>
  <c r="X156" i="2"/>
  <c r="W156" i="2"/>
  <c r="AL156" i="2"/>
  <c r="AD156" i="2"/>
  <c r="AC156" i="2"/>
  <c r="AE156" i="2"/>
  <c r="AM156" i="2"/>
  <c r="AN156" i="2"/>
  <c r="P156" i="2"/>
  <c r="Q156" i="2"/>
  <c r="G156" i="2"/>
  <c r="J156" i="2"/>
  <c r="F156" i="2"/>
  <c r="I156" i="2"/>
  <c r="S156" i="2"/>
  <c r="M156" i="2"/>
  <c r="L156" i="2"/>
  <c r="K156" i="2"/>
  <c r="R156" i="2"/>
  <c r="T156" i="2"/>
  <c r="AO156" i="2"/>
  <c r="AX156" i="2"/>
  <c r="AW155" i="2"/>
  <c r="AZ155" i="2"/>
  <c r="AY156" i="2"/>
  <c r="BA156" i="2"/>
  <c r="AK157" i="2"/>
  <c r="AH157" i="2"/>
  <c r="Y157" i="2"/>
  <c r="Z157" i="2"/>
  <c r="AA157" i="2"/>
  <c r="AB157" i="2"/>
  <c r="X157" i="2"/>
  <c r="W157" i="2"/>
  <c r="AL157" i="2"/>
  <c r="AD157" i="2"/>
  <c r="AC157" i="2"/>
  <c r="AE157" i="2"/>
  <c r="AM157" i="2"/>
  <c r="AN157" i="2"/>
  <c r="P157" i="2"/>
  <c r="Q157" i="2"/>
  <c r="G157" i="2"/>
  <c r="J157" i="2"/>
  <c r="F157" i="2"/>
  <c r="I157" i="2"/>
  <c r="S157" i="2"/>
  <c r="M157" i="2"/>
  <c r="L157" i="2"/>
  <c r="K157" i="2"/>
  <c r="R157" i="2"/>
  <c r="T157" i="2"/>
  <c r="AO157" i="2"/>
  <c r="AX157" i="2"/>
  <c r="AW156" i="2"/>
  <c r="AZ156" i="2"/>
  <c r="AY157" i="2"/>
  <c r="BA157" i="2"/>
  <c r="AK158" i="2"/>
  <c r="AH158" i="2"/>
  <c r="Y158" i="2"/>
  <c r="Z158" i="2"/>
  <c r="AA158" i="2"/>
  <c r="AB158" i="2"/>
  <c r="X158" i="2"/>
  <c r="W158" i="2"/>
  <c r="AL158" i="2"/>
  <c r="AD158" i="2"/>
  <c r="AC158" i="2"/>
  <c r="AE158" i="2"/>
  <c r="AM158" i="2"/>
  <c r="AN158" i="2"/>
  <c r="P158" i="2"/>
  <c r="Q158" i="2"/>
  <c r="G158" i="2"/>
  <c r="J158" i="2"/>
  <c r="F158" i="2"/>
  <c r="I158" i="2"/>
  <c r="S158" i="2"/>
  <c r="M158" i="2"/>
  <c r="L158" i="2"/>
  <c r="K158" i="2"/>
  <c r="R158" i="2"/>
  <c r="T158" i="2"/>
  <c r="AO158" i="2"/>
  <c r="AX158" i="2"/>
  <c r="AW157" i="2"/>
  <c r="AZ157" i="2"/>
  <c r="AY158" i="2"/>
  <c r="BA158" i="2"/>
  <c r="AK159" i="2"/>
  <c r="AH159" i="2"/>
  <c r="Y159" i="2"/>
  <c r="Z159" i="2"/>
  <c r="AA159" i="2"/>
  <c r="AB159" i="2"/>
  <c r="X159" i="2"/>
  <c r="W159" i="2"/>
  <c r="AL159" i="2"/>
  <c r="AD159" i="2"/>
  <c r="AC159" i="2"/>
  <c r="AE159" i="2"/>
  <c r="AM159" i="2"/>
  <c r="AN159" i="2"/>
  <c r="P159" i="2"/>
  <c r="Q159" i="2"/>
  <c r="G159" i="2"/>
  <c r="J159" i="2"/>
  <c r="F159" i="2"/>
  <c r="I159" i="2"/>
  <c r="S159" i="2"/>
  <c r="M159" i="2"/>
  <c r="L159" i="2"/>
  <c r="K159" i="2"/>
  <c r="R159" i="2"/>
  <c r="T159" i="2"/>
  <c r="AO159" i="2"/>
  <c r="AX159" i="2"/>
  <c r="AW158" i="2"/>
  <c r="AZ158" i="2"/>
  <c r="AY159" i="2"/>
  <c r="BA159" i="2"/>
  <c r="AK160" i="2"/>
  <c r="AH160" i="2"/>
  <c r="Y160" i="2"/>
  <c r="Z160" i="2"/>
  <c r="AA160" i="2"/>
  <c r="AB160" i="2"/>
  <c r="X160" i="2"/>
  <c r="W160" i="2"/>
  <c r="AL160" i="2"/>
  <c r="AD160" i="2"/>
  <c r="AC160" i="2"/>
  <c r="AE160" i="2"/>
  <c r="AM160" i="2"/>
  <c r="AN160" i="2"/>
  <c r="P160" i="2"/>
  <c r="Q160" i="2"/>
  <c r="G160" i="2"/>
  <c r="J160" i="2"/>
  <c r="F160" i="2"/>
  <c r="I160" i="2"/>
  <c r="S160" i="2"/>
  <c r="M160" i="2"/>
  <c r="L160" i="2"/>
  <c r="K160" i="2"/>
  <c r="R160" i="2"/>
  <c r="T160" i="2"/>
  <c r="AO160" i="2"/>
  <c r="AX160" i="2"/>
  <c r="AW159" i="2"/>
  <c r="AZ159" i="2"/>
  <c r="AY160" i="2"/>
  <c r="BA160" i="2"/>
  <c r="AK161" i="2"/>
  <c r="AH161" i="2"/>
  <c r="Y161" i="2"/>
  <c r="Z161" i="2"/>
  <c r="AA161" i="2"/>
  <c r="AB161" i="2"/>
  <c r="X161" i="2"/>
  <c r="W161" i="2"/>
  <c r="AL161" i="2"/>
  <c r="AD161" i="2"/>
  <c r="AC161" i="2"/>
  <c r="AE161" i="2"/>
  <c r="AM161" i="2"/>
  <c r="AN161" i="2"/>
  <c r="P161" i="2"/>
  <c r="Q161" i="2"/>
  <c r="G161" i="2"/>
  <c r="J161" i="2"/>
  <c r="F161" i="2"/>
  <c r="I161" i="2"/>
  <c r="S161" i="2"/>
  <c r="M161" i="2"/>
  <c r="L161" i="2"/>
  <c r="K161" i="2"/>
  <c r="R161" i="2"/>
  <c r="T161" i="2"/>
  <c r="AO161" i="2"/>
  <c r="AX161" i="2"/>
  <c r="AW160" i="2"/>
  <c r="AZ160" i="2"/>
  <c r="AY161" i="2"/>
  <c r="BA161" i="2"/>
  <c r="AK162" i="2"/>
  <c r="AH162" i="2"/>
  <c r="Y162" i="2"/>
  <c r="Z162" i="2"/>
  <c r="AA162" i="2"/>
  <c r="AB162" i="2"/>
  <c r="X162" i="2"/>
  <c r="W162" i="2"/>
  <c r="AL162" i="2"/>
  <c r="AD162" i="2"/>
  <c r="AC162" i="2"/>
  <c r="AE162" i="2"/>
  <c r="AM162" i="2"/>
  <c r="AN162" i="2"/>
  <c r="P162" i="2"/>
  <c r="Q162" i="2"/>
  <c r="G162" i="2"/>
  <c r="J162" i="2"/>
  <c r="F162" i="2"/>
  <c r="I162" i="2"/>
  <c r="S162" i="2"/>
  <c r="M162" i="2"/>
  <c r="L162" i="2"/>
  <c r="K162" i="2"/>
  <c r="R162" i="2"/>
  <c r="T162" i="2"/>
  <c r="AO162" i="2"/>
  <c r="AX162" i="2"/>
  <c r="AW161" i="2"/>
  <c r="AZ161" i="2"/>
  <c r="AY162" i="2"/>
  <c r="BA162" i="2"/>
  <c r="AK163" i="2"/>
  <c r="AH163" i="2"/>
  <c r="Y163" i="2"/>
  <c r="Z163" i="2"/>
  <c r="AA163" i="2"/>
  <c r="AB163" i="2"/>
  <c r="X163" i="2"/>
  <c r="W163" i="2"/>
  <c r="AL163" i="2"/>
  <c r="AD163" i="2"/>
  <c r="AC163" i="2"/>
  <c r="AE163" i="2"/>
  <c r="AM163" i="2"/>
  <c r="AN163" i="2"/>
  <c r="P163" i="2"/>
  <c r="Q163" i="2"/>
  <c r="G163" i="2"/>
  <c r="J163" i="2"/>
  <c r="F163" i="2"/>
  <c r="I163" i="2"/>
  <c r="S163" i="2"/>
  <c r="M163" i="2"/>
  <c r="L163" i="2"/>
  <c r="K163" i="2"/>
  <c r="R163" i="2"/>
  <c r="T163" i="2"/>
  <c r="AO163" i="2"/>
  <c r="AX163" i="2"/>
  <c r="AW162" i="2"/>
  <c r="AZ162" i="2"/>
  <c r="AY163" i="2"/>
  <c r="BA163" i="2"/>
  <c r="AK164" i="2"/>
  <c r="AH164" i="2"/>
  <c r="Y164" i="2"/>
  <c r="Z164" i="2"/>
  <c r="AA164" i="2"/>
  <c r="AB164" i="2"/>
  <c r="X164" i="2"/>
  <c r="W164" i="2"/>
  <c r="AL164" i="2"/>
  <c r="AD164" i="2"/>
  <c r="AC164" i="2"/>
  <c r="AE164" i="2"/>
  <c r="AM164" i="2"/>
  <c r="AN164" i="2"/>
  <c r="P164" i="2"/>
  <c r="Q164" i="2"/>
  <c r="G164" i="2"/>
  <c r="J164" i="2"/>
  <c r="F164" i="2"/>
  <c r="I164" i="2"/>
  <c r="S164" i="2"/>
  <c r="M164" i="2"/>
  <c r="L164" i="2"/>
  <c r="K164" i="2"/>
  <c r="R164" i="2"/>
  <c r="T164" i="2"/>
  <c r="AO164" i="2"/>
  <c r="AX164" i="2"/>
  <c r="AW163" i="2"/>
  <c r="AZ163" i="2"/>
  <c r="AY164" i="2"/>
  <c r="BA164" i="2"/>
  <c r="AK165" i="2"/>
  <c r="AH165" i="2"/>
  <c r="Y165" i="2"/>
  <c r="Z165" i="2"/>
  <c r="AA165" i="2"/>
  <c r="AB165" i="2"/>
  <c r="X165" i="2"/>
  <c r="W165" i="2"/>
  <c r="AL165" i="2"/>
  <c r="AD165" i="2"/>
  <c r="AC165" i="2"/>
  <c r="AE165" i="2"/>
  <c r="AM165" i="2"/>
  <c r="AN165" i="2"/>
  <c r="P165" i="2"/>
  <c r="Q165" i="2"/>
  <c r="G165" i="2"/>
  <c r="J165" i="2"/>
  <c r="F165" i="2"/>
  <c r="I165" i="2"/>
  <c r="S165" i="2"/>
  <c r="M165" i="2"/>
  <c r="L165" i="2"/>
  <c r="K165" i="2"/>
  <c r="R165" i="2"/>
  <c r="T165" i="2"/>
  <c r="AO165" i="2"/>
  <c r="AX165" i="2"/>
  <c r="AW164" i="2"/>
  <c r="AZ164" i="2"/>
  <c r="AY165" i="2"/>
  <c r="BA165" i="2"/>
  <c r="AK166" i="2"/>
  <c r="AH166" i="2"/>
  <c r="Y166" i="2"/>
  <c r="Z166" i="2"/>
  <c r="AA166" i="2"/>
  <c r="AB166" i="2"/>
  <c r="X166" i="2"/>
  <c r="W166" i="2"/>
  <c r="AL166" i="2"/>
  <c r="AD166" i="2"/>
  <c r="AC166" i="2"/>
  <c r="AE166" i="2"/>
  <c r="AM166" i="2"/>
  <c r="AN166" i="2"/>
  <c r="P166" i="2"/>
  <c r="Q166" i="2"/>
  <c r="G166" i="2"/>
  <c r="J166" i="2"/>
  <c r="F166" i="2"/>
  <c r="I166" i="2"/>
  <c r="S166" i="2"/>
  <c r="M166" i="2"/>
  <c r="L166" i="2"/>
  <c r="K166" i="2"/>
  <c r="R166" i="2"/>
  <c r="T166" i="2"/>
  <c r="AO166" i="2"/>
  <c r="AX166" i="2"/>
  <c r="AW165" i="2"/>
  <c r="AZ165" i="2"/>
  <c r="AY166" i="2"/>
  <c r="BA166" i="2"/>
  <c r="AK167" i="2"/>
  <c r="AH167" i="2"/>
  <c r="Y167" i="2"/>
  <c r="Z167" i="2"/>
  <c r="AA167" i="2"/>
  <c r="AB167" i="2"/>
  <c r="X167" i="2"/>
  <c r="W167" i="2"/>
  <c r="AL167" i="2"/>
  <c r="AD167" i="2"/>
  <c r="AC167" i="2"/>
  <c r="AE167" i="2"/>
  <c r="AM167" i="2"/>
  <c r="AN167" i="2"/>
  <c r="P167" i="2"/>
  <c r="Q167" i="2"/>
  <c r="G167" i="2"/>
  <c r="J167" i="2"/>
  <c r="F167" i="2"/>
  <c r="I167" i="2"/>
  <c r="S167" i="2"/>
  <c r="M167" i="2"/>
  <c r="L167" i="2"/>
  <c r="K167" i="2"/>
  <c r="R167" i="2"/>
  <c r="T167" i="2"/>
  <c r="AO167" i="2"/>
  <c r="AX167" i="2"/>
  <c r="AW166" i="2"/>
  <c r="AZ166" i="2"/>
  <c r="AY167" i="2"/>
  <c r="BA167" i="2"/>
  <c r="AK168" i="2"/>
  <c r="AH168" i="2"/>
  <c r="Y168" i="2"/>
  <c r="Z168" i="2"/>
  <c r="AA168" i="2"/>
  <c r="AB168" i="2"/>
  <c r="X168" i="2"/>
  <c r="W168" i="2"/>
  <c r="AL168" i="2"/>
  <c r="AD168" i="2"/>
  <c r="AC168" i="2"/>
  <c r="AE168" i="2"/>
  <c r="AM168" i="2"/>
  <c r="AN168" i="2"/>
  <c r="P168" i="2"/>
  <c r="Q168" i="2"/>
  <c r="G168" i="2"/>
  <c r="J168" i="2"/>
  <c r="F168" i="2"/>
  <c r="I168" i="2"/>
  <c r="S168" i="2"/>
  <c r="M168" i="2"/>
  <c r="L168" i="2"/>
  <c r="K168" i="2"/>
  <c r="R168" i="2"/>
  <c r="T168" i="2"/>
  <c r="AO168" i="2"/>
  <c r="AX168" i="2"/>
  <c r="AW167" i="2"/>
  <c r="AZ167" i="2"/>
  <c r="AY168" i="2"/>
  <c r="BA168" i="2"/>
  <c r="AK169" i="2"/>
  <c r="AH169" i="2"/>
  <c r="Y169" i="2"/>
  <c r="Z169" i="2"/>
  <c r="AA169" i="2"/>
  <c r="AB169" i="2"/>
  <c r="X169" i="2"/>
  <c r="W169" i="2"/>
  <c r="AL169" i="2"/>
  <c r="AD169" i="2"/>
  <c r="AC169" i="2"/>
  <c r="AE169" i="2"/>
  <c r="AM169" i="2"/>
  <c r="AN169" i="2"/>
  <c r="P169" i="2"/>
  <c r="Q169" i="2"/>
  <c r="G169" i="2"/>
  <c r="J169" i="2"/>
  <c r="F169" i="2"/>
  <c r="I169" i="2"/>
  <c r="S169" i="2"/>
  <c r="M169" i="2"/>
  <c r="L169" i="2"/>
  <c r="K169" i="2"/>
  <c r="R169" i="2"/>
  <c r="T169" i="2"/>
  <c r="AO169" i="2"/>
  <c r="AX169" i="2"/>
  <c r="AW168" i="2"/>
  <c r="AZ168" i="2"/>
  <c r="AY169" i="2"/>
  <c r="BA169" i="2"/>
  <c r="AK170" i="2"/>
  <c r="AH170" i="2"/>
  <c r="Y170" i="2"/>
  <c r="Z170" i="2"/>
  <c r="AA170" i="2"/>
  <c r="AB170" i="2"/>
  <c r="X170" i="2"/>
  <c r="W170" i="2"/>
  <c r="AL170" i="2"/>
  <c r="AD170" i="2"/>
  <c r="AC170" i="2"/>
  <c r="AE170" i="2"/>
  <c r="AM170" i="2"/>
  <c r="AN170" i="2"/>
  <c r="P170" i="2"/>
  <c r="Q170" i="2"/>
  <c r="G170" i="2"/>
  <c r="J170" i="2"/>
  <c r="F170" i="2"/>
  <c r="I170" i="2"/>
  <c r="S170" i="2"/>
  <c r="M170" i="2"/>
  <c r="L170" i="2"/>
  <c r="K170" i="2"/>
  <c r="R170" i="2"/>
  <c r="T170" i="2"/>
  <c r="AO170" i="2"/>
  <c r="AX170" i="2"/>
  <c r="AW169" i="2"/>
  <c r="AZ169" i="2"/>
  <c r="AY170" i="2"/>
  <c r="BA170" i="2"/>
  <c r="AK171" i="2"/>
  <c r="AH171" i="2"/>
  <c r="Y171" i="2"/>
  <c r="Z171" i="2"/>
  <c r="AA171" i="2"/>
  <c r="AB171" i="2"/>
  <c r="X171" i="2"/>
  <c r="W171" i="2"/>
  <c r="AL171" i="2"/>
  <c r="AD171" i="2"/>
  <c r="AC171" i="2"/>
  <c r="AE171" i="2"/>
  <c r="AM171" i="2"/>
  <c r="AN171" i="2"/>
  <c r="P171" i="2"/>
  <c r="Q171" i="2"/>
  <c r="G171" i="2"/>
  <c r="J171" i="2"/>
  <c r="F171" i="2"/>
  <c r="I171" i="2"/>
  <c r="S171" i="2"/>
  <c r="M171" i="2"/>
  <c r="L171" i="2"/>
  <c r="K171" i="2"/>
  <c r="R171" i="2"/>
  <c r="T171" i="2"/>
  <c r="AO171" i="2"/>
  <c r="AX171" i="2"/>
  <c r="AW170" i="2"/>
  <c r="AZ170" i="2"/>
  <c r="AY171" i="2"/>
  <c r="BA171" i="2"/>
  <c r="AK172" i="2"/>
  <c r="AH172" i="2"/>
  <c r="Y172" i="2"/>
  <c r="Z172" i="2"/>
  <c r="AA172" i="2"/>
  <c r="AB172" i="2"/>
  <c r="X172" i="2"/>
  <c r="W172" i="2"/>
  <c r="AL172" i="2"/>
  <c r="AD172" i="2"/>
  <c r="AC172" i="2"/>
  <c r="AE172" i="2"/>
  <c r="AM172" i="2"/>
  <c r="AN172" i="2"/>
  <c r="P172" i="2"/>
  <c r="Q172" i="2"/>
  <c r="G172" i="2"/>
  <c r="J172" i="2"/>
  <c r="F172" i="2"/>
  <c r="I172" i="2"/>
  <c r="S172" i="2"/>
  <c r="M172" i="2"/>
  <c r="L172" i="2"/>
  <c r="K172" i="2"/>
  <c r="R172" i="2"/>
  <c r="T172" i="2"/>
  <c r="AO172" i="2"/>
  <c r="AX172" i="2"/>
  <c r="AW171" i="2"/>
  <c r="AZ171" i="2"/>
  <c r="AY172" i="2"/>
  <c r="BA172" i="2"/>
  <c r="AK173" i="2"/>
  <c r="AH173" i="2"/>
  <c r="Y173" i="2"/>
  <c r="Z173" i="2"/>
  <c r="AA173" i="2"/>
  <c r="AB173" i="2"/>
  <c r="X173" i="2"/>
  <c r="W173" i="2"/>
  <c r="AL173" i="2"/>
  <c r="AD173" i="2"/>
  <c r="AC173" i="2"/>
  <c r="AE173" i="2"/>
  <c r="AM173" i="2"/>
  <c r="AN173" i="2"/>
  <c r="P173" i="2"/>
  <c r="Q173" i="2"/>
  <c r="G173" i="2"/>
  <c r="J173" i="2"/>
  <c r="F173" i="2"/>
  <c r="I173" i="2"/>
  <c r="S173" i="2"/>
  <c r="M173" i="2"/>
  <c r="L173" i="2"/>
  <c r="K173" i="2"/>
  <c r="R173" i="2"/>
  <c r="T173" i="2"/>
  <c r="AO173" i="2"/>
  <c r="AX173" i="2"/>
  <c r="AW172" i="2"/>
  <c r="AZ172" i="2"/>
  <c r="AY173" i="2"/>
  <c r="BA173" i="2"/>
  <c r="AK174" i="2"/>
  <c r="AH174" i="2"/>
  <c r="Y174" i="2"/>
  <c r="Z174" i="2"/>
  <c r="AA174" i="2"/>
  <c r="AB174" i="2"/>
  <c r="X174" i="2"/>
  <c r="W174" i="2"/>
  <c r="AL174" i="2"/>
  <c r="AD174" i="2"/>
  <c r="AC174" i="2"/>
  <c r="AE174" i="2"/>
  <c r="AM174" i="2"/>
  <c r="AN174" i="2"/>
  <c r="P174" i="2"/>
  <c r="Q174" i="2"/>
  <c r="G174" i="2"/>
  <c r="J174" i="2"/>
  <c r="F174" i="2"/>
  <c r="I174" i="2"/>
  <c r="S174" i="2"/>
  <c r="M174" i="2"/>
  <c r="L174" i="2"/>
  <c r="K174" i="2"/>
  <c r="R174" i="2"/>
  <c r="T174" i="2"/>
  <c r="AO174" i="2"/>
  <c r="AX174" i="2"/>
  <c r="AW173" i="2"/>
  <c r="AZ173" i="2"/>
  <c r="AY174" i="2"/>
  <c r="BA174" i="2"/>
  <c r="AK175" i="2"/>
  <c r="AH175" i="2"/>
  <c r="Y175" i="2"/>
  <c r="Z175" i="2"/>
  <c r="AA175" i="2"/>
  <c r="AB175" i="2"/>
  <c r="X175" i="2"/>
  <c r="W175" i="2"/>
  <c r="AL175" i="2"/>
  <c r="AD175" i="2"/>
  <c r="AC175" i="2"/>
  <c r="AE175" i="2"/>
  <c r="AM175" i="2"/>
  <c r="AN175" i="2"/>
  <c r="P175" i="2"/>
  <c r="Q175" i="2"/>
  <c r="G175" i="2"/>
  <c r="J175" i="2"/>
  <c r="F175" i="2"/>
  <c r="I175" i="2"/>
  <c r="S175" i="2"/>
  <c r="M175" i="2"/>
  <c r="L175" i="2"/>
  <c r="K175" i="2"/>
  <c r="R175" i="2"/>
  <c r="T175" i="2"/>
  <c r="AO175" i="2"/>
  <c r="AX175" i="2"/>
  <c r="AW174" i="2"/>
  <c r="AZ174" i="2"/>
  <c r="AY175" i="2"/>
  <c r="BA175" i="2"/>
  <c r="AK176" i="2"/>
  <c r="AH176" i="2"/>
  <c r="Y176" i="2"/>
  <c r="Z176" i="2"/>
  <c r="AA176" i="2"/>
  <c r="AB176" i="2"/>
  <c r="X176" i="2"/>
  <c r="W176" i="2"/>
  <c r="AL176" i="2"/>
  <c r="AD176" i="2"/>
  <c r="AC176" i="2"/>
  <c r="AE176" i="2"/>
  <c r="AM176" i="2"/>
  <c r="AN176" i="2"/>
  <c r="P176" i="2"/>
  <c r="Q176" i="2"/>
  <c r="G176" i="2"/>
  <c r="J176" i="2"/>
  <c r="F176" i="2"/>
  <c r="I176" i="2"/>
  <c r="S176" i="2"/>
  <c r="M176" i="2"/>
  <c r="L176" i="2"/>
  <c r="K176" i="2"/>
  <c r="R176" i="2"/>
  <c r="T176" i="2"/>
  <c r="AO176" i="2"/>
  <c r="AX176" i="2"/>
  <c r="AW175" i="2"/>
  <c r="AZ175" i="2"/>
  <c r="AY176" i="2"/>
  <c r="BA176" i="2"/>
  <c r="AK177" i="2"/>
  <c r="AH177" i="2"/>
  <c r="Y177" i="2"/>
  <c r="Z177" i="2"/>
  <c r="AA177" i="2"/>
  <c r="AB177" i="2"/>
  <c r="X177" i="2"/>
  <c r="W177" i="2"/>
  <c r="AL177" i="2"/>
  <c r="AD177" i="2"/>
  <c r="AC177" i="2"/>
  <c r="AE177" i="2"/>
  <c r="AM177" i="2"/>
  <c r="AN177" i="2"/>
  <c r="P177" i="2"/>
  <c r="Q177" i="2"/>
  <c r="G177" i="2"/>
  <c r="J177" i="2"/>
  <c r="F177" i="2"/>
  <c r="I177" i="2"/>
  <c r="S177" i="2"/>
  <c r="M177" i="2"/>
  <c r="L177" i="2"/>
  <c r="K177" i="2"/>
  <c r="R177" i="2"/>
  <c r="T177" i="2"/>
  <c r="AO177" i="2"/>
  <c r="AX177" i="2"/>
  <c r="AW176" i="2"/>
  <c r="AZ176" i="2"/>
  <c r="AY177" i="2"/>
  <c r="BA177" i="2"/>
  <c r="AK178" i="2"/>
  <c r="AH178" i="2"/>
  <c r="Y178" i="2"/>
  <c r="Z178" i="2"/>
  <c r="AA178" i="2"/>
  <c r="AB178" i="2"/>
  <c r="X178" i="2"/>
  <c r="W178" i="2"/>
  <c r="AL178" i="2"/>
  <c r="AD178" i="2"/>
  <c r="AC178" i="2"/>
  <c r="AE178" i="2"/>
  <c r="AM178" i="2"/>
  <c r="AN178" i="2"/>
  <c r="P178" i="2"/>
  <c r="Q178" i="2"/>
  <c r="G178" i="2"/>
  <c r="J178" i="2"/>
  <c r="F178" i="2"/>
  <c r="I178" i="2"/>
  <c r="S178" i="2"/>
  <c r="M178" i="2"/>
  <c r="L178" i="2"/>
  <c r="K178" i="2"/>
  <c r="R178" i="2"/>
  <c r="T178" i="2"/>
  <c r="AO178" i="2"/>
  <c r="AX178" i="2"/>
  <c r="AW177" i="2"/>
  <c r="AZ177" i="2"/>
  <c r="AY178" i="2"/>
  <c r="BA178" i="2"/>
  <c r="AK179" i="2"/>
  <c r="AH179" i="2"/>
  <c r="Y179" i="2"/>
  <c r="Z179" i="2"/>
  <c r="AA179" i="2"/>
  <c r="AB179" i="2"/>
  <c r="X179" i="2"/>
  <c r="W179" i="2"/>
  <c r="AL179" i="2"/>
  <c r="AD179" i="2"/>
  <c r="AC179" i="2"/>
  <c r="AE179" i="2"/>
  <c r="AM179" i="2"/>
  <c r="AN179" i="2"/>
  <c r="P179" i="2"/>
  <c r="Q179" i="2"/>
  <c r="G179" i="2"/>
  <c r="J179" i="2"/>
  <c r="F179" i="2"/>
  <c r="I179" i="2"/>
  <c r="S179" i="2"/>
  <c r="M179" i="2"/>
  <c r="L179" i="2"/>
  <c r="K179" i="2"/>
  <c r="R179" i="2"/>
  <c r="T179" i="2"/>
  <c r="AO179" i="2"/>
  <c r="AX179" i="2"/>
  <c r="AW178" i="2"/>
  <c r="AZ178" i="2"/>
  <c r="AY179" i="2"/>
  <c r="BA179" i="2"/>
  <c r="AK180" i="2"/>
  <c r="AH180" i="2"/>
  <c r="Y180" i="2"/>
  <c r="Z180" i="2"/>
  <c r="AA180" i="2"/>
  <c r="AB180" i="2"/>
  <c r="X180" i="2"/>
  <c r="W180" i="2"/>
  <c r="AL180" i="2"/>
  <c r="AD180" i="2"/>
  <c r="AC180" i="2"/>
  <c r="AE180" i="2"/>
  <c r="AM180" i="2"/>
  <c r="AN180" i="2"/>
  <c r="P180" i="2"/>
  <c r="Q180" i="2"/>
  <c r="G180" i="2"/>
  <c r="J180" i="2"/>
  <c r="F180" i="2"/>
  <c r="I180" i="2"/>
  <c r="S180" i="2"/>
  <c r="M180" i="2"/>
  <c r="L180" i="2"/>
  <c r="K180" i="2"/>
  <c r="R180" i="2"/>
  <c r="T180" i="2"/>
  <c r="AO180" i="2"/>
  <c r="AX180" i="2"/>
  <c r="AW179" i="2"/>
  <c r="AZ179" i="2"/>
  <c r="AY180" i="2"/>
  <c r="BA180" i="2"/>
  <c r="AK181" i="2"/>
  <c r="AH181" i="2"/>
  <c r="Y181" i="2"/>
  <c r="Z181" i="2"/>
  <c r="AA181" i="2"/>
  <c r="AB181" i="2"/>
  <c r="X181" i="2"/>
  <c r="W181" i="2"/>
  <c r="AL181" i="2"/>
  <c r="AD181" i="2"/>
  <c r="AC181" i="2"/>
  <c r="AE181" i="2"/>
  <c r="AM181" i="2"/>
  <c r="AN181" i="2"/>
  <c r="P181" i="2"/>
  <c r="Q181" i="2"/>
  <c r="G181" i="2"/>
  <c r="J181" i="2"/>
  <c r="F181" i="2"/>
  <c r="I181" i="2"/>
  <c r="S181" i="2"/>
  <c r="M181" i="2"/>
  <c r="L181" i="2"/>
  <c r="K181" i="2"/>
  <c r="R181" i="2"/>
  <c r="T181" i="2"/>
  <c r="AO181" i="2"/>
  <c r="AX181" i="2"/>
  <c r="AW180" i="2"/>
  <c r="AZ180" i="2"/>
  <c r="AY181" i="2"/>
  <c r="BA181" i="2"/>
  <c r="AK182" i="2"/>
  <c r="AH182" i="2"/>
  <c r="Y182" i="2"/>
  <c r="Z182" i="2"/>
  <c r="AA182" i="2"/>
  <c r="AB182" i="2"/>
  <c r="X182" i="2"/>
  <c r="W182" i="2"/>
  <c r="AL182" i="2"/>
  <c r="AD182" i="2"/>
  <c r="AC182" i="2"/>
  <c r="AE182" i="2"/>
  <c r="AM182" i="2"/>
  <c r="AN182" i="2"/>
  <c r="P182" i="2"/>
  <c r="Q182" i="2"/>
  <c r="G182" i="2"/>
  <c r="J182" i="2"/>
  <c r="F182" i="2"/>
  <c r="I182" i="2"/>
  <c r="S182" i="2"/>
  <c r="M182" i="2"/>
  <c r="L182" i="2"/>
  <c r="K182" i="2"/>
  <c r="R182" i="2"/>
  <c r="T182" i="2"/>
  <c r="AO182" i="2"/>
  <c r="AX182" i="2"/>
  <c r="AW181" i="2"/>
  <c r="AZ181" i="2"/>
  <c r="AY182" i="2"/>
  <c r="BA182" i="2"/>
  <c r="AK183" i="2"/>
  <c r="AH183" i="2"/>
  <c r="Y183" i="2"/>
  <c r="Z183" i="2"/>
  <c r="AA183" i="2"/>
  <c r="AB183" i="2"/>
  <c r="X183" i="2"/>
  <c r="W183" i="2"/>
  <c r="AL183" i="2"/>
  <c r="AD183" i="2"/>
  <c r="AC183" i="2"/>
  <c r="AE183" i="2"/>
  <c r="AM183" i="2"/>
  <c r="AN183" i="2"/>
  <c r="P183" i="2"/>
  <c r="Q183" i="2"/>
  <c r="G183" i="2"/>
  <c r="J183" i="2"/>
  <c r="F183" i="2"/>
  <c r="I183" i="2"/>
  <c r="S183" i="2"/>
  <c r="M183" i="2"/>
  <c r="L183" i="2"/>
  <c r="K183" i="2"/>
  <c r="R183" i="2"/>
  <c r="T183" i="2"/>
  <c r="AO183" i="2"/>
  <c r="AX183" i="2"/>
  <c r="AW182" i="2"/>
  <c r="AZ182" i="2"/>
  <c r="AY183" i="2"/>
  <c r="BA183" i="2"/>
  <c r="AK184" i="2"/>
  <c r="AH184" i="2"/>
  <c r="Y184" i="2"/>
  <c r="Z184" i="2"/>
  <c r="AA184" i="2"/>
  <c r="AB184" i="2"/>
  <c r="X184" i="2"/>
  <c r="W184" i="2"/>
  <c r="AL184" i="2"/>
  <c r="AD184" i="2"/>
  <c r="AC184" i="2"/>
  <c r="AE184" i="2"/>
  <c r="AM184" i="2"/>
  <c r="AN184" i="2"/>
  <c r="P184" i="2"/>
  <c r="Q184" i="2"/>
  <c r="G184" i="2"/>
  <c r="J184" i="2"/>
  <c r="F184" i="2"/>
  <c r="I184" i="2"/>
  <c r="S184" i="2"/>
  <c r="M184" i="2"/>
  <c r="L184" i="2"/>
  <c r="K184" i="2"/>
  <c r="R184" i="2"/>
  <c r="T184" i="2"/>
  <c r="AO184" i="2"/>
  <c r="AX184" i="2"/>
  <c r="AW183" i="2"/>
  <c r="AZ183" i="2"/>
  <c r="AY184" i="2"/>
  <c r="BA184" i="2"/>
  <c r="AK185" i="2"/>
  <c r="AH185" i="2"/>
  <c r="Y185" i="2"/>
  <c r="Z185" i="2"/>
  <c r="AA185" i="2"/>
  <c r="AB185" i="2"/>
  <c r="X185" i="2"/>
  <c r="W185" i="2"/>
  <c r="AL185" i="2"/>
  <c r="AD185" i="2"/>
  <c r="AC185" i="2"/>
  <c r="AE185" i="2"/>
  <c r="AM185" i="2"/>
  <c r="AN185" i="2"/>
  <c r="P185" i="2"/>
  <c r="Q185" i="2"/>
  <c r="G185" i="2"/>
  <c r="J185" i="2"/>
  <c r="F185" i="2"/>
  <c r="I185" i="2"/>
  <c r="S185" i="2"/>
  <c r="M185" i="2"/>
  <c r="L185" i="2"/>
  <c r="K185" i="2"/>
  <c r="R185" i="2"/>
  <c r="T185" i="2"/>
  <c r="AO185" i="2"/>
  <c r="AX185" i="2"/>
  <c r="AW184" i="2"/>
  <c r="AZ184" i="2"/>
  <c r="AY185" i="2"/>
  <c r="BA185" i="2"/>
  <c r="AK186" i="2"/>
  <c r="AH186" i="2"/>
  <c r="Y186" i="2"/>
  <c r="Z186" i="2"/>
  <c r="AA186" i="2"/>
  <c r="AB186" i="2"/>
  <c r="X186" i="2"/>
  <c r="W186" i="2"/>
  <c r="AL186" i="2"/>
  <c r="AD186" i="2"/>
  <c r="AC186" i="2"/>
  <c r="AE186" i="2"/>
  <c r="AM186" i="2"/>
  <c r="AN186" i="2"/>
  <c r="P186" i="2"/>
  <c r="Q186" i="2"/>
  <c r="G186" i="2"/>
  <c r="J186" i="2"/>
  <c r="F186" i="2"/>
  <c r="I186" i="2"/>
  <c r="S186" i="2"/>
  <c r="M186" i="2"/>
  <c r="L186" i="2"/>
  <c r="K186" i="2"/>
  <c r="R186" i="2"/>
  <c r="T186" i="2"/>
  <c r="AO186" i="2"/>
  <c r="AX186" i="2"/>
  <c r="AW185" i="2"/>
  <c r="AZ185" i="2"/>
  <c r="AY186" i="2"/>
  <c r="BA186" i="2"/>
  <c r="AK187" i="2"/>
  <c r="AH187" i="2"/>
  <c r="Y187" i="2"/>
  <c r="Z187" i="2"/>
  <c r="AA187" i="2"/>
  <c r="AB187" i="2"/>
  <c r="X187" i="2"/>
  <c r="W187" i="2"/>
  <c r="AL187" i="2"/>
  <c r="AD187" i="2"/>
  <c r="AC187" i="2"/>
  <c r="AE187" i="2"/>
  <c r="AM187" i="2"/>
  <c r="AN187" i="2"/>
  <c r="P187" i="2"/>
  <c r="Q187" i="2"/>
  <c r="G187" i="2"/>
  <c r="J187" i="2"/>
  <c r="F187" i="2"/>
  <c r="I187" i="2"/>
  <c r="S187" i="2"/>
  <c r="M187" i="2"/>
  <c r="L187" i="2"/>
  <c r="K187" i="2"/>
  <c r="R187" i="2"/>
  <c r="T187" i="2"/>
  <c r="AO187" i="2"/>
  <c r="AX187" i="2"/>
  <c r="AW186" i="2"/>
  <c r="AZ186" i="2"/>
  <c r="AY187" i="2"/>
  <c r="BA187" i="2"/>
  <c r="AK188" i="2"/>
  <c r="AH188" i="2"/>
  <c r="Y188" i="2"/>
  <c r="Z188" i="2"/>
  <c r="AA188" i="2"/>
  <c r="AB188" i="2"/>
  <c r="X188" i="2"/>
  <c r="W188" i="2"/>
  <c r="AL188" i="2"/>
  <c r="AD188" i="2"/>
  <c r="AC188" i="2"/>
  <c r="AE188" i="2"/>
  <c r="AM188" i="2"/>
  <c r="AN188" i="2"/>
  <c r="P188" i="2"/>
  <c r="Q188" i="2"/>
  <c r="G188" i="2"/>
  <c r="J188" i="2"/>
  <c r="F188" i="2"/>
  <c r="I188" i="2"/>
  <c r="S188" i="2"/>
  <c r="M188" i="2"/>
  <c r="L188" i="2"/>
  <c r="K188" i="2"/>
  <c r="R188" i="2"/>
  <c r="T188" i="2"/>
  <c r="AO188" i="2"/>
  <c r="AX188" i="2"/>
  <c r="AW187" i="2"/>
  <c r="AZ187" i="2"/>
  <c r="AY188" i="2"/>
  <c r="BA188" i="2"/>
  <c r="AK189" i="2"/>
  <c r="AH189" i="2"/>
  <c r="Y189" i="2"/>
  <c r="Z189" i="2"/>
  <c r="AA189" i="2"/>
  <c r="AB189" i="2"/>
  <c r="X189" i="2"/>
  <c r="W189" i="2"/>
  <c r="AL189" i="2"/>
  <c r="AD189" i="2"/>
  <c r="AC189" i="2"/>
  <c r="AE189" i="2"/>
  <c r="AM189" i="2"/>
  <c r="AN189" i="2"/>
  <c r="P189" i="2"/>
  <c r="Q189" i="2"/>
  <c r="G189" i="2"/>
  <c r="J189" i="2"/>
  <c r="F189" i="2"/>
  <c r="I189" i="2"/>
  <c r="S189" i="2"/>
  <c r="M189" i="2"/>
  <c r="L189" i="2"/>
  <c r="K189" i="2"/>
  <c r="R189" i="2"/>
  <c r="T189" i="2"/>
  <c r="AO189" i="2"/>
  <c r="AX189" i="2"/>
  <c r="AW188" i="2"/>
  <c r="AZ188" i="2"/>
  <c r="AY189" i="2"/>
  <c r="BA189" i="2"/>
  <c r="AK190" i="2"/>
  <c r="AH190" i="2"/>
  <c r="Y190" i="2"/>
  <c r="Z190" i="2"/>
  <c r="AA190" i="2"/>
  <c r="AB190" i="2"/>
  <c r="X190" i="2"/>
  <c r="W190" i="2"/>
  <c r="AL190" i="2"/>
  <c r="AD190" i="2"/>
  <c r="AC190" i="2"/>
  <c r="AE190" i="2"/>
  <c r="AM190" i="2"/>
  <c r="AN190" i="2"/>
  <c r="P190" i="2"/>
  <c r="Q190" i="2"/>
  <c r="G190" i="2"/>
  <c r="J190" i="2"/>
  <c r="F190" i="2"/>
  <c r="I190" i="2"/>
  <c r="S190" i="2"/>
  <c r="M190" i="2"/>
  <c r="L190" i="2"/>
  <c r="K190" i="2"/>
  <c r="R190" i="2"/>
  <c r="T190" i="2"/>
  <c r="AO190" i="2"/>
  <c r="AX190" i="2"/>
  <c r="AW189" i="2"/>
  <c r="AZ189" i="2"/>
  <c r="AY190" i="2"/>
  <c r="BA190" i="2"/>
  <c r="AK191" i="2"/>
  <c r="AH191" i="2"/>
  <c r="Y191" i="2"/>
  <c r="Z191" i="2"/>
  <c r="AA191" i="2"/>
  <c r="AB191" i="2"/>
  <c r="X191" i="2"/>
  <c r="W191" i="2"/>
  <c r="AL191" i="2"/>
  <c r="AD191" i="2"/>
  <c r="AC191" i="2"/>
  <c r="AE191" i="2"/>
  <c r="AM191" i="2"/>
  <c r="AN191" i="2"/>
  <c r="P191" i="2"/>
  <c r="Q191" i="2"/>
  <c r="G191" i="2"/>
  <c r="J191" i="2"/>
  <c r="F191" i="2"/>
  <c r="I191" i="2"/>
  <c r="S191" i="2"/>
  <c r="M191" i="2"/>
  <c r="L191" i="2"/>
  <c r="K191" i="2"/>
  <c r="R191" i="2"/>
  <c r="T191" i="2"/>
  <c r="AO191" i="2"/>
  <c r="AX191" i="2"/>
  <c r="AW190" i="2"/>
  <c r="AZ190" i="2"/>
  <c r="AY191" i="2"/>
  <c r="BA191" i="2"/>
  <c r="AK192" i="2"/>
  <c r="AH192" i="2"/>
  <c r="Y192" i="2"/>
  <c r="Z192" i="2"/>
  <c r="AA192" i="2"/>
  <c r="AB192" i="2"/>
  <c r="X192" i="2"/>
  <c r="W192" i="2"/>
  <c r="AL192" i="2"/>
  <c r="AD192" i="2"/>
  <c r="AC192" i="2"/>
  <c r="AE192" i="2"/>
  <c r="AM192" i="2"/>
  <c r="AN192" i="2"/>
  <c r="P192" i="2"/>
  <c r="Q192" i="2"/>
  <c r="G192" i="2"/>
  <c r="J192" i="2"/>
  <c r="F192" i="2"/>
  <c r="I192" i="2"/>
  <c r="S192" i="2"/>
  <c r="M192" i="2"/>
  <c r="L192" i="2"/>
  <c r="K192" i="2"/>
  <c r="R192" i="2"/>
  <c r="T192" i="2"/>
  <c r="AO192" i="2"/>
  <c r="AX192" i="2"/>
  <c r="AW191" i="2"/>
  <c r="AZ191" i="2"/>
  <c r="AY192" i="2"/>
  <c r="BA192" i="2"/>
  <c r="AK193" i="2"/>
  <c r="AH193" i="2"/>
  <c r="Y193" i="2"/>
  <c r="Z193" i="2"/>
  <c r="AA193" i="2"/>
  <c r="AB193" i="2"/>
  <c r="X193" i="2"/>
  <c r="W193" i="2"/>
  <c r="AL193" i="2"/>
  <c r="AD193" i="2"/>
  <c r="AC193" i="2"/>
  <c r="AE193" i="2"/>
  <c r="AM193" i="2"/>
  <c r="AN193" i="2"/>
  <c r="P193" i="2"/>
  <c r="Q193" i="2"/>
  <c r="G193" i="2"/>
  <c r="J193" i="2"/>
  <c r="F193" i="2"/>
  <c r="I193" i="2"/>
  <c r="S193" i="2"/>
  <c r="M193" i="2"/>
  <c r="L193" i="2"/>
  <c r="K193" i="2"/>
  <c r="R193" i="2"/>
  <c r="T193" i="2"/>
  <c r="AO193" i="2"/>
  <c r="AX193" i="2"/>
  <c r="AW192" i="2"/>
  <c r="AZ192" i="2"/>
  <c r="AY193" i="2"/>
  <c r="BA193" i="2"/>
  <c r="AK194" i="2"/>
  <c r="AH194" i="2"/>
  <c r="Y194" i="2"/>
  <c r="Z194" i="2"/>
  <c r="AA194" i="2"/>
  <c r="AB194" i="2"/>
  <c r="X194" i="2"/>
  <c r="W194" i="2"/>
  <c r="AL194" i="2"/>
  <c r="AD194" i="2"/>
  <c r="AC194" i="2"/>
  <c r="AE194" i="2"/>
  <c r="AM194" i="2"/>
  <c r="AN194" i="2"/>
  <c r="P194" i="2"/>
  <c r="Q194" i="2"/>
  <c r="G194" i="2"/>
  <c r="J194" i="2"/>
  <c r="F194" i="2"/>
  <c r="I194" i="2"/>
  <c r="S194" i="2"/>
  <c r="M194" i="2"/>
  <c r="L194" i="2"/>
  <c r="K194" i="2"/>
  <c r="R194" i="2"/>
  <c r="T194" i="2"/>
  <c r="AO194" i="2"/>
  <c r="AX194" i="2"/>
  <c r="AW193" i="2"/>
  <c r="AZ193" i="2"/>
  <c r="AY194" i="2"/>
  <c r="BA194" i="2"/>
  <c r="AK195" i="2"/>
  <c r="AH195" i="2"/>
  <c r="Y195" i="2"/>
  <c r="Z195" i="2"/>
  <c r="AA195" i="2"/>
  <c r="AB195" i="2"/>
  <c r="X195" i="2"/>
  <c r="W195" i="2"/>
  <c r="AL195" i="2"/>
  <c r="AD195" i="2"/>
  <c r="AC195" i="2"/>
  <c r="AE195" i="2"/>
  <c r="AM195" i="2"/>
  <c r="AN195" i="2"/>
  <c r="P195" i="2"/>
  <c r="Q195" i="2"/>
  <c r="G195" i="2"/>
  <c r="J195" i="2"/>
  <c r="F195" i="2"/>
  <c r="I195" i="2"/>
  <c r="S195" i="2"/>
  <c r="M195" i="2"/>
  <c r="L195" i="2"/>
  <c r="K195" i="2"/>
  <c r="R195" i="2"/>
  <c r="T195" i="2"/>
  <c r="AO195" i="2"/>
  <c r="AX195" i="2"/>
  <c r="AW194" i="2"/>
  <c r="AZ194" i="2"/>
  <c r="AY195" i="2"/>
  <c r="BA195" i="2"/>
  <c r="AK196" i="2"/>
  <c r="AH196" i="2"/>
  <c r="Y196" i="2"/>
  <c r="Z196" i="2"/>
  <c r="AA196" i="2"/>
  <c r="AB196" i="2"/>
  <c r="X196" i="2"/>
  <c r="W196" i="2"/>
  <c r="AL196" i="2"/>
  <c r="AD196" i="2"/>
  <c r="AC196" i="2"/>
  <c r="AE196" i="2"/>
  <c r="AM196" i="2"/>
  <c r="AN196" i="2"/>
  <c r="P196" i="2"/>
  <c r="Q196" i="2"/>
  <c r="G196" i="2"/>
  <c r="J196" i="2"/>
  <c r="F196" i="2"/>
  <c r="I196" i="2"/>
  <c r="S196" i="2"/>
  <c r="M196" i="2"/>
  <c r="L196" i="2"/>
  <c r="K196" i="2"/>
  <c r="R196" i="2"/>
  <c r="T196" i="2"/>
  <c r="AO196" i="2"/>
  <c r="AX196" i="2"/>
  <c r="AW195" i="2"/>
  <c r="AZ195" i="2"/>
  <c r="AY196" i="2"/>
  <c r="BA196" i="2"/>
  <c r="AK197" i="2"/>
  <c r="AH197" i="2"/>
  <c r="Y197" i="2"/>
  <c r="Z197" i="2"/>
  <c r="AA197" i="2"/>
  <c r="AB197" i="2"/>
  <c r="X197" i="2"/>
  <c r="W197" i="2"/>
  <c r="AL197" i="2"/>
  <c r="AD197" i="2"/>
  <c r="AC197" i="2"/>
  <c r="AE197" i="2"/>
  <c r="AM197" i="2"/>
  <c r="AN197" i="2"/>
  <c r="P197" i="2"/>
  <c r="Q197" i="2"/>
  <c r="G197" i="2"/>
  <c r="J197" i="2"/>
  <c r="F197" i="2"/>
  <c r="I197" i="2"/>
  <c r="S197" i="2"/>
  <c r="M197" i="2"/>
  <c r="L197" i="2"/>
  <c r="K197" i="2"/>
  <c r="R197" i="2"/>
  <c r="T197" i="2"/>
  <c r="AO197" i="2"/>
  <c r="AX197" i="2"/>
  <c r="AW196" i="2"/>
  <c r="AZ196" i="2"/>
  <c r="AY197" i="2"/>
  <c r="BA197" i="2"/>
  <c r="AK198" i="2"/>
  <c r="AH198" i="2"/>
  <c r="Y198" i="2"/>
  <c r="Z198" i="2"/>
  <c r="AA198" i="2"/>
  <c r="AB198" i="2"/>
  <c r="X198" i="2"/>
  <c r="W198" i="2"/>
  <c r="AL198" i="2"/>
  <c r="AD198" i="2"/>
  <c r="AC198" i="2"/>
  <c r="AE198" i="2"/>
  <c r="AM198" i="2"/>
  <c r="AN198" i="2"/>
  <c r="P198" i="2"/>
  <c r="Q198" i="2"/>
  <c r="G198" i="2"/>
  <c r="J198" i="2"/>
  <c r="F198" i="2"/>
  <c r="I198" i="2"/>
  <c r="S198" i="2"/>
  <c r="M198" i="2"/>
  <c r="L198" i="2"/>
  <c r="K198" i="2"/>
  <c r="R198" i="2"/>
  <c r="T198" i="2"/>
  <c r="AO198" i="2"/>
  <c r="AX198" i="2"/>
  <c r="AW197" i="2"/>
  <c r="AZ197" i="2"/>
  <c r="AY198" i="2"/>
  <c r="BA198" i="2"/>
  <c r="AK199" i="2"/>
  <c r="AH199" i="2"/>
  <c r="Y199" i="2"/>
  <c r="Z199" i="2"/>
  <c r="AA199" i="2"/>
  <c r="AB199" i="2"/>
  <c r="X199" i="2"/>
  <c r="W199" i="2"/>
  <c r="AL199" i="2"/>
  <c r="AD199" i="2"/>
  <c r="AC199" i="2"/>
  <c r="AE199" i="2"/>
  <c r="AM199" i="2"/>
  <c r="AN199" i="2"/>
  <c r="P199" i="2"/>
  <c r="Q199" i="2"/>
  <c r="G199" i="2"/>
  <c r="J199" i="2"/>
  <c r="F199" i="2"/>
  <c r="I199" i="2"/>
  <c r="S199" i="2"/>
  <c r="M199" i="2"/>
  <c r="L199" i="2"/>
  <c r="K199" i="2"/>
  <c r="R199" i="2"/>
  <c r="T199" i="2"/>
  <c r="AO199" i="2"/>
  <c r="AX199" i="2"/>
  <c r="AW198" i="2"/>
  <c r="AZ198" i="2"/>
  <c r="AY199" i="2"/>
  <c r="BA199" i="2"/>
  <c r="AK200" i="2"/>
  <c r="AH200" i="2"/>
  <c r="Y200" i="2"/>
  <c r="Z200" i="2"/>
  <c r="AA200" i="2"/>
  <c r="AB200" i="2"/>
  <c r="X200" i="2"/>
  <c r="W200" i="2"/>
  <c r="AL200" i="2"/>
  <c r="AD200" i="2"/>
  <c r="AC200" i="2"/>
  <c r="AE200" i="2"/>
  <c r="AM200" i="2"/>
  <c r="AN200" i="2"/>
  <c r="P200" i="2"/>
  <c r="Q200" i="2"/>
  <c r="G200" i="2"/>
  <c r="J200" i="2"/>
  <c r="F200" i="2"/>
  <c r="I200" i="2"/>
  <c r="S200" i="2"/>
  <c r="M200" i="2"/>
  <c r="L200" i="2"/>
  <c r="K200" i="2"/>
  <c r="R200" i="2"/>
  <c r="T200" i="2"/>
  <c r="AO200" i="2"/>
  <c r="AX200" i="2"/>
  <c r="AW199" i="2"/>
  <c r="AZ199" i="2"/>
  <c r="AY200" i="2"/>
  <c r="BA200" i="2"/>
  <c r="AK201" i="2"/>
  <c r="AH201" i="2"/>
  <c r="Y201" i="2"/>
  <c r="Z201" i="2"/>
  <c r="AA201" i="2"/>
  <c r="AB201" i="2"/>
  <c r="X201" i="2"/>
  <c r="W201" i="2"/>
  <c r="AL201" i="2"/>
  <c r="AD201" i="2"/>
  <c r="AC201" i="2"/>
  <c r="AE201" i="2"/>
  <c r="AM201" i="2"/>
  <c r="AN201" i="2"/>
  <c r="P201" i="2"/>
  <c r="Q201" i="2"/>
  <c r="G201" i="2"/>
  <c r="J201" i="2"/>
  <c r="F201" i="2"/>
  <c r="I201" i="2"/>
  <c r="S201" i="2"/>
  <c r="M201" i="2"/>
  <c r="L201" i="2"/>
  <c r="K201" i="2"/>
  <c r="R201" i="2"/>
  <c r="T201" i="2"/>
  <c r="AO201" i="2"/>
  <c r="AX201" i="2"/>
  <c r="AW200" i="2"/>
  <c r="AZ200" i="2"/>
  <c r="AY201" i="2"/>
  <c r="BA201" i="2"/>
  <c r="AK202" i="2"/>
  <c r="AH202" i="2"/>
  <c r="Y202" i="2"/>
  <c r="Z202" i="2"/>
  <c r="AA202" i="2"/>
  <c r="AB202" i="2"/>
  <c r="X202" i="2"/>
  <c r="W202" i="2"/>
  <c r="AL202" i="2"/>
  <c r="AD202" i="2"/>
  <c r="AC202" i="2"/>
  <c r="AE202" i="2"/>
  <c r="AM202" i="2"/>
  <c r="AN202" i="2"/>
  <c r="P202" i="2"/>
  <c r="Q202" i="2"/>
  <c r="G202" i="2"/>
  <c r="J202" i="2"/>
  <c r="F202" i="2"/>
  <c r="I202" i="2"/>
  <c r="S202" i="2"/>
  <c r="M202" i="2"/>
  <c r="L202" i="2"/>
  <c r="K202" i="2"/>
  <c r="R202" i="2"/>
  <c r="T202" i="2"/>
  <c r="AO202" i="2"/>
  <c r="AX202" i="2"/>
  <c r="AW201" i="2"/>
  <c r="AZ201" i="2"/>
  <c r="AY202" i="2"/>
  <c r="BA202" i="2"/>
  <c r="AK203" i="2"/>
  <c r="AH203" i="2"/>
  <c r="Y203" i="2"/>
  <c r="Z203" i="2"/>
  <c r="AA203" i="2"/>
  <c r="AB203" i="2"/>
  <c r="X203" i="2"/>
  <c r="W203" i="2"/>
  <c r="AL203" i="2"/>
  <c r="AD203" i="2"/>
  <c r="AC203" i="2"/>
  <c r="AE203" i="2"/>
  <c r="AM203" i="2"/>
  <c r="AN203" i="2"/>
  <c r="P203" i="2"/>
  <c r="Q203" i="2"/>
  <c r="G203" i="2"/>
  <c r="J203" i="2"/>
  <c r="F203" i="2"/>
  <c r="I203" i="2"/>
  <c r="S203" i="2"/>
  <c r="M203" i="2"/>
  <c r="L203" i="2"/>
  <c r="K203" i="2"/>
  <c r="R203" i="2"/>
  <c r="T203" i="2"/>
  <c r="AO203" i="2"/>
  <c r="AX203" i="2"/>
  <c r="AW202" i="2"/>
  <c r="AZ202" i="2"/>
  <c r="AY203" i="2"/>
  <c r="BA203" i="2"/>
  <c r="AK204" i="2"/>
  <c r="AH204" i="2"/>
  <c r="Y204" i="2"/>
  <c r="Z204" i="2"/>
  <c r="AA204" i="2"/>
  <c r="AB204" i="2"/>
  <c r="X204" i="2"/>
  <c r="W204" i="2"/>
  <c r="AL204" i="2"/>
  <c r="AD204" i="2"/>
  <c r="AC204" i="2"/>
  <c r="AE204" i="2"/>
  <c r="AM204" i="2"/>
  <c r="AN204" i="2"/>
  <c r="P204" i="2"/>
  <c r="Q204" i="2"/>
  <c r="G204" i="2"/>
  <c r="J204" i="2"/>
  <c r="F204" i="2"/>
  <c r="I204" i="2"/>
  <c r="S204" i="2"/>
  <c r="M204" i="2"/>
  <c r="L204" i="2"/>
  <c r="K204" i="2"/>
  <c r="R204" i="2"/>
  <c r="T204" i="2"/>
  <c r="AO204" i="2"/>
  <c r="AX204" i="2"/>
  <c r="AW203" i="2"/>
  <c r="AZ203" i="2"/>
  <c r="AY204" i="2"/>
  <c r="BA204" i="2"/>
  <c r="AK205" i="2"/>
  <c r="AH205" i="2"/>
  <c r="Y205" i="2"/>
  <c r="Z205" i="2"/>
  <c r="AA205" i="2"/>
  <c r="AB205" i="2"/>
  <c r="X205" i="2"/>
  <c r="W205" i="2"/>
  <c r="AL205" i="2"/>
  <c r="AD205" i="2"/>
  <c r="AC205" i="2"/>
  <c r="AE205" i="2"/>
  <c r="AM205" i="2"/>
  <c r="AN205" i="2"/>
  <c r="P205" i="2"/>
  <c r="Q205" i="2"/>
  <c r="G205" i="2"/>
  <c r="J205" i="2"/>
  <c r="F205" i="2"/>
  <c r="I205" i="2"/>
  <c r="S205" i="2"/>
  <c r="M205" i="2"/>
  <c r="L205" i="2"/>
  <c r="K205" i="2"/>
  <c r="R205" i="2"/>
  <c r="T205" i="2"/>
  <c r="AO205" i="2"/>
  <c r="AX205" i="2"/>
  <c r="AW204" i="2"/>
  <c r="AZ204" i="2"/>
  <c r="AY205" i="2"/>
  <c r="BA205" i="2"/>
  <c r="AK206" i="2"/>
  <c r="AH206" i="2"/>
  <c r="Y206" i="2"/>
  <c r="Z206" i="2"/>
  <c r="AA206" i="2"/>
  <c r="AB206" i="2"/>
  <c r="X206" i="2"/>
  <c r="W206" i="2"/>
  <c r="AL206" i="2"/>
  <c r="AD206" i="2"/>
  <c r="AC206" i="2"/>
  <c r="AE206" i="2"/>
  <c r="AM206" i="2"/>
  <c r="AN206" i="2"/>
  <c r="P206" i="2"/>
  <c r="Q206" i="2"/>
  <c r="G206" i="2"/>
  <c r="J206" i="2"/>
  <c r="F206" i="2"/>
  <c r="I206" i="2"/>
  <c r="S206" i="2"/>
  <c r="M206" i="2"/>
  <c r="L206" i="2"/>
  <c r="K206" i="2"/>
  <c r="R206" i="2"/>
  <c r="T206" i="2"/>
  <c r="AO206" i="2"/>
  <c r="AX206" i="2"/>
  <c r="AW205" i="2"/>
  <c r="AZ205" i="2"/>
  <c r="AY206" i="2"/>
  <c r="BA206" i="2"/>
  <c r="AK207" i="2"/>
  <c r="AH207" i="2"/>
  <c r="Y207" i="2"/>
  <c r="Z207" i="2"/>
  <c r="AA207" i="2"/>
  <c r="AB207" i="2"/>
  <c r="X207" i="2"/>
  <c r="W207" i="2"/>
  <c r="AL207" i="2"/>
  <c r="AD207" i="2"/>
  <c r="AC207" i="2"/>
  <c r="AE207" i="2"/>
  <c r="AM207" i="2"/>
  <c r="AN207" i="2"/>
  <c r="P207" i="2"/>
  <c r="Q207" i="2"/>
  <c r="G207" i="2"/>
  <c r="J207" i="2"/>
  <c r="F207" i="2"/>
  <c r="I207" i="2"/>
  <c r="S207" i="2"/>
  <c r="M207" i="2"/>
  <c r="L207" i="2"/>
  <c r="K207" i="2"/>
  <c r="R207" i="2"/>
  <c r="T207" i="2"/>
  <c r="AO207" i="2"/>
  <c r="AX207" i="2"/>
  <c r="AW206" i="2"/>
  <c r="AZ206" i="2"/>
  <c r="AY207" i="2"/>
  <c r="BA207" i="2"/>
  <c r="AK208" i="2"/>
  <c r="AH208" i="2"/>
  <c r="Y208" i="2"/>
  <c r="Z208" i="2"/>
  <c r="AA208" i="2"/>
  <c r="AB208" i="2"/>
  <c r="X208" i="2"/>
  <c r="W208" i="2"/>
  <c r="AL208" i="2"/>
  <c r="AD208" i="2"/>
  <c r="AC208" i="2"/>
  <c r="AE208" i="2"/>
  <c r="AM208" i="2"/>
  <c r="AN208" i="2"/>
  <c r="P208" i="2"/>
  <c r="Q208" i="2"/>
  <c r="G208" i="2"/>
  <c r="J208" i="2"/>
  <c r="F208" i="2"/>
  <c r="I208" i="2"/>
  <c r="S208" i="2"/>
  <c r="M208" i="2"/>
  <c r="L208" i="2"/>
  <c r="K208" i="2"/>
  <c r="R208" i="2"/>
  <c r="T208" i="2"/>
  <c r="AO208" i="2"/>
  <c r="AX208" i="2"/>
  <c r="AW207" i="2"/>
  <c r="AZ207" i="2"/>
  <c r="AY208" i="2"/>
  <c r="BA208" i="2"/>
  <c r="AK209" i="2"/>
  <c r="AH209" i="2"/>
  <c r="Y209" i="2"/>
  <c r="Z209" i="2"/>
  <c r="AA209" i="2"/>
  <c r="AB209" i="2"/>
  <c r="X209" i="2"/>
  <c r="W209" i="2"/>
  <c r="AL209" i="2"/>
  <c r="AD209" i="2"/>
  <c r="AC209" i="2"/>
  <c r="AE209" i="2"/>
  <c r="AM209" i="2"/>
  <c r="AN209" i="2"/>
  <c r="P209" i="2"/>
  <c r="Q209" i="2"/>
  <c r="G209" i="2"/>
  <c r="J209" i="2"/>
  <c r="F209" i="2"/>
  <c r="I209" i="2"/>
  <c r="S209" i="2"/>
  <c r="M209" i="2"/>
  <c r="L209" i="2"/>
  <c r="K209" i="2"/>
  <c r="R209" i="2"/>
  <c r="T209" i="2"/>
  <c r="AO209" i="2"/>
  <c r="AX209" i="2"/>
  <c r="AW208" i="2"/>
  <c r="AZ208" i="2"/>
  <c r="AY209" i="2"/>
  <c r="BA209" i="2"/>
  <c r="AK210" i="2"/>
  <c r="AH210" i="2"/>
  <c r="Y210" i="2"/>
  <c r="Z210" i="2"/>
  <c r="AA210" i="2"/>
  <c r="AB210" i="2"/>
  <c r="X210" i="2"/>
  <c r="W210" i="2"/>
  <c r="AL210" i="2"/>
  <c r="AD210" i="2"/>
  <c r="AC210" i="2"/>
  <c r="AE210" i="2"/>
  <c r="AM210" i="2"/>
  <c r="AN210" i="2"/>
  <c r="P210" i="2"/>
  <c r="Q210" i="2"/>
  <c r="G210" i="2"/>
  <c r="J210" i="2"/>
  <c r="F210" i="2"/>
  <c r="I210" i="2"/>
  <c r="S210" i="2"/>
  <c r="M210" i="2"/>
  <c r="L210" i="2"/>
  <c r="K210" i="2"/>
  <c r="R210" i="2"/>
  <c r="T210" i="2"/>
  <c r="AO210" i="2"/>
  <c r="AX210" i="2"/>
  <c r="AW209" i="2"/>
  <c r="AZ209" i="2"/>
  <c r="AY210" i="2"/>
  <c r="BA210" i="2"/>
  <c r="AK211" i="2"/>
  <c r="AH211" i="2"/>
  <c r="Y211" i="2"/>
  <c r="Z211" i="2"/>
  <c r="AA211" i="2"/>
  <c r="AB211" i="2"/>
  <c r="X211" i="2"/>
  <c r="W211" i="2"/>
  <c r="AL211" i="2"/>
  <c r="AD211" i="2"/>
  <c r="AC211" i="2"/>
  <c r="AE211" i="2"/>
  <c r="AM211" i="2"/>
  <c r="AN211" i="2"/>
  <c r="P211" i="2"/>
  <c r="Q211" i="2"/>
  <c r="G211" i="2"/>
  <c r="J211" i="2"/>
  <c r="F211" i="2"/>
  <c r="I211" i="2"/>
  <c r="S211" i="2"/>
  <c r="M211" i="2"/>
  <c r="L211" i="2"/>
  <c r="K211" i="2"/>
  <c r="R211" i="2"/>
  <c r="T211" i="2"/>
  <c r="AO211" i="2"/>
  <c r="AX211" i="2"/>
  <c r="AW210" i="2"/>
  <c r="AZ210" i="2"/>
  <c r="AY211" i="2"/>
  <c r="BA211" i="2"/>
  <c r="AK212" i="2"/>
  <c r="AH212" i="2"/>
  <c r="Y212" i="2"/>
  <c r="Z212" i="2"/>
  <c r="AA212" i="2"/>
  <c r="AB212" i="2"/>
  <c r="X212" i="2"/>
  <c r="W212" i="2"/>
  <c r="AL212" i="2"/>
  <c r="AD212" i="2"/>
  <c r="AC212" i="2"/>
  <c r="AE212" i="2"/>
  <c r="AM212" i="2"/>
  <c r="AN212" i="2"/>
  <c r="P212" i="2"/>
  <c r="Q212" i="2"/>
  <c r="G212" i="2"/>
  <c r="J212" i="2"/>
  <c r="F212" i="2"/>
  <c r="I212" i="2"/>
  <c r="S212" i="2"/>
  <c r="M212" i="2"/>
  <c r="L212" i="2"/>
  <c r="K212" i="2"/>
  <c r="R212" i="2"/>
  <c r="T212" i="2"/>
  <c r="AO212" i="2"/>
  <c r="AX212" i="2"/>
  <c r="AW211" i="2"/>
  <c r="AZ211" i="2"/>
  <c r="AY212" i="2"/>
  <c r="BA212" i="2"/>
  <c r="AK213" i="2"/>
  <c r="AH213" i="2"/>
  <c r="Y213" i="2"/>
  <c r="Z213" i="2"/>
  <c r="AA213" i="2"/>
  <c r="AB213" i="2"/>
  <c r="X213" i="2"/>
  <c r="W213" i="2"/>
  <c r="AL213" i="2"/>
  <c r="AD213" i="2"/>
  <c r="AC213" i="2"/>
  <c r="AE213" i="2"/>
  <c r="AM213" i="2"/>
  <c r="AN213" i="2"/>
  <c r="P213" i="2"/>
  <c r="Q213" i="2"/>
  <c r="G213" i="2"/>
  <c r="J213" i="2"/>
  <c r="F213" i="2"/>
  <c r="I213" i="2"/>
  <c r="S213" i="2"/>
  <c r="M213" i="2"/>
  <c r="L213" i="2"/>
  <c r="K213" i="2"/>
  <c r="R213" i="2"/>
  <c r="T213" i="2"/>
  <c r="AO213" i="2"/>
  <c r="AX213" i="2"/>
  <c r="AW212" i="2"/>
  <c r="AZ212" i="2"/>
  <c r="AY213" i="2"/>
  <c r="BA213" i="2"/>
  <c r="AK214" i="2"/>
  <c r="AH214" i="2"/>
  <c r="Y214" i="2"/>
  <c r="Z214" i="2"/>
  <c r="AA214" i="2"/>
  <c r="AB214" i="2"/>
  <c r="X214" i="2"/>
  <c r="W214" i="2"/>
  <c r="AL214" i="2"/>
  <c r="AD214" i="2"/>
  <c r="AC214" i="2"/>
  <c r="AE214" i="2"/>
  <c r="AM214" i="2"/>
  <c r="AN214" i="2"/>
  <c r="P214" i="2"/>
  <c r="Q214" i="2"/>
  <c r="G214" i="2"/>
  <c r="J214" i="2"/>
  <c r="F214" i="2"/>
  <c r="I214" i="2"/>
  <c r="S214" i="2"/>
  <c r="M214" i="2"/>
  <c r="L214" i="2"/>
  <c r="K214" i="2"/>
  <c r="R214" i="2"/>
  <c r="T214" i="2"/>
  <c r="AO214" i="2"/>
  <c r="AX214" i="2"/>
  <c r="AW213" i="2"/>
  <c r="AZ213" i="2"/>
  <c r="AY214" i="2"/>
  <c r="BA214" i="2"/>
  <c r="AK215" i="2"/>
  <c r="AH215" i="2"/>
  <c r="Y215" i="2"/>
  <c r="Z215" i="2"/>
  <c r="AA215" i="2"/>
  <c r="AB215" i="2"/>
  <c r="X215" i="2"/>
  <c r="W215" i="2"/>
  <c r="AL215" i="2"/>
  <c r="AD215" i="2"/>
  <c r="AC215" i="2"/>
  <c r="AE215" i="2"/>
  <c r="AM215" i="2"/>
  <c r="AN215" i="2"/>
  <c r="P215" i="2"/>
  <c r="Q215" i="2"/>
  <c r="G215" i="2"/>
  <c r="J215" i="2"/>
  <c r="F215" i="2"/>
  <c r="I215" i="2"/>
  <c r="S215" i="2"/>
  <c r="M215" i="2"/>
  <c r="L215" i="2"/>
  <c r="K215" i="2"/>
  <c r="R215" i="2"/>
  <c r="T215" i="2"/>
  <c r="AO215" i="2"/>
  <c r="AX215" i="2"/>
  <c r="AW214" i="2"/>
  <c r="AZ214" i="2"/>
  <c r="AY215" i="2"/>
  <c r="BA215" i="2"/>
  <c r="AK216" i="2"/>
  <c r="AH216" i="2"/>
  <c r="Y216" i="2"/>
  <c r="Z216" i="2"/>
  <c r="AA216" i="2"/>
  <c r="AB216" i="2"/>
  <c r="X216" i="2"/>
  <c r="W216" i="2"/>
  <c r="AL216" i="2"/>
  <c r="AD216" i="2"/>
  <c r="AC216" i="2"/>
  <c r="AE216" i="2"/>
  <c r="AM216" i="2"/>
  <c r="AN216" i="2"/>
  <c r="P216" i="2"/>
  <c r="Q216" i="2"/>
  <c r="G216" i="2"/>
  <c r="J216" i="2"/>
  <c r="F216" i="2"/>
  <c r="I216" i="2"/>
  <c r="S216" i="2"/>
  <c r="M216" i="2"/>
  <c r="L216" i="2"/>
  <c r="K216" i="2"/>
  <c r="R216" i="2"/>
  <c r="T216" i="2"/>
  <c r="AO216" i="2"/>
  <c r="AX216" i="2"/>
  <c r="AW215" i="2"/>
  <c r="AZ215" i="2"/>
  <c r="AY216" i="2"/>
  <c r="BA216" i="2"/>
  <c r="AK217" i="2"/>
  <c r="AH217" i="2"/>
  <c r="Y217" i="2"/>
  <c r="Z217" i="2"/>
  <c r="AA217" i="2"/>
  <c r="AB217" i="2"/>
  <c r="X217" i="2"/>
  <c r="W217" i="2"/>
  <c r="AL217" i="2"/>
  <c r="AD217" i="2"/>
  <c r="AC217" i="2"/>
  <c r="AE217" i="2"/>
  <c r="AM217" i="2"/>
  <c r="AN217" i="2"/>
  <c r="P217" i="2"/>
  <c r="Q217" i="2"/>
  <c r="G217" i="2"/>
  <c r="J217" i="2"/>
  <c r="F217" i="2"/>
  <c r="I217" i="2"/>
  <c r="S217" i="2"/>
  <c r="M217" i="2"/>
  <c r="L217" i="2"/>
  <c r="K217" i="2"/>
  <c r="R217" i="2"/>
  <c r="T217" i="2"/>
  <c r="AO217" i="2"/>
  <c r="AX217" i="2"/>
  <c r="AW216" i="2"/>
  <c r="AZ216" i="2"/>
  <c r="AY217" i="2"/>
  <c r="BA217" i="2"/>
  <c r="AK218" i="2"/>
  <c r="AH218" i="2"/>
  <c r="Y218" i="2"/>
  <c r="Z218" i="2"/>
  <c r="AA218" i="2"/>
  <c r="AB218" i="2"/>
  <c r="X218" i="2"/>
  <c r="W218" i="2"/>
  <c r="AL218" i="2"/>
  <c r="AD218" i="2"/>
  <c r="AC218" i="2"/>
  <c r="AE218" i="2"/>
  <c r="AM218" i="2"/>
  <c r="AN218" i="2"/>
  <c r="P218" i="2"/>
  <c r="Q218" i="2"/>
  <c r="G218" i="2"/>
  <c r="J218" i="2"/>
  <c r="F218" i="2"/>
  <c r="I218" i="2"/>
  <c r="S218" i="2"/>
  <c r="M218" i="2"/>
  <c r="L218" i="2"/>
  <c r="K218" i="2"/>
  <c r="R218" i="2"/>
  <c r="T218" i="2"/>
  <c r="AO218" i="2"/>
  <c r="AX218" i="2"/>
  <c r="AW217" i="2"/>
  <c r="AZ217" i="2"/>
  <c r="AY218" i="2"/>
  <c r="BA218" i="2"/>
  <c r="AK219" i="2"/>
  <c r="AH219" i="2"/>
  <c r="Y219" i="2"/>
  <c r="Z219" i="2"/>
  <c r="AA219" i="2"/>
  <c r="AB219" i="2"/>
  <c r="X219" i="2"/>
  <c r="W219" i="2"/>
  <c r="AL219" i="2"/>
  <c r="AD219" i="2"/>
  <c r="AC219" i="2"/>
  <c r="AE219" i="2"/>
  <c r="AM219" i="2"/>
  <c r="AN219" i="2"/>
  <c r="P219" i="2"/>
  <c r="Q219" i="2"/>
  <c r="G219" i="2"/>
  <c r="J219" i="2"/>
  <c r="F219" i="2"/>
  <c r="I219" i="2"/>
  <c r="S219" i="2"/>
  <c r="M219" i="2"/>
  <c r="L219" i="2"/>
  <c r="K219" i="2"/>
  <c r="R219" i="2"/>
  <c r="T219" i="2"/>
  <c r="AO219" i="2"/>
  <c r="AX219" i="2"/>
  <c r="AW218" i="2"/>
  <c r="AZ218" i="2"/>
  <c r="AY219" i="2"/>
  <c r="BA219" i="2"/>
  <c r="AK220" i="2"/>
  <c r="AH220" i="2"/>
  <c r="Y220" i="2"/>
  <c r="Z220" i="2"/>
  <c r="AA220" i="2"/>
  <c r="AB220" i="2"/>
  <c r="X220" i="2"/>
  <c r="W220" i="2"/>
  <c r="AL220" i="2"/>
  <c r="AD220" i="2"/>
  <c r="AC220" i="2"/>
  <c r="AE220" i="2"/>
  <c r="AM220" i="2"/>
  <c r="AN220" i="2"/>
  <c r="P220" i="2"/>
  <c r="Q220" i="2"/>
  <c r="G220" i="2"/>
  <c r="J220" i="2"/>
  <c r="F220" i="2"/>
  <c r="I220" i="2"/>
  <c r="S220" i="2"/>
  <c r="M220" i="2"/>
  <c r="L220" i="2"/>
  <c r="K220" i="2"/>
  <c r="R220" i="2"/>
  <c r="T220" i="2"/>
  <c r="AO220" i="2"/>
  <c r="AX220" i="2"/>
  <c r="AW219" i="2"/>
  <c r="AZ219" i="2"/>
  <c r="AY220" i="2"/>
  <c r="BA220" i="2"/>
  <c r="AK221" i="2"/>
  <c r="AH221" i="2"/>
  <c r="Y221" i="2"/>
  <c r="Z221" i="2"/>
  <c r="AA221" i="2"/>
  <c r="AB221" i="2"/>
  <c r="X221" i="2"/>
  <c r="W221" i="2"/>
  <c r="AL221" i="2"/>
  <c r="AD221" i="2"/>
  <c r="AC221" i="2"/>
  <c r="AE221" i="2"/>
  <c r="AM221" i="2"/>
  <c r="AN221" i="2"/>
  <c r="P221" i="2"/>
  <c r="Q221" i="2"/>
  <c r="G221" i="2"/>
  <c r="J221" i="2"/>
  <c r="F221" i="2"/>
  <c r="I221" i="2"/>
  <c r="S221" i="2"/>
  <c r="M221" i="2"/>
  <c r="L221" i="2"/>
  <c r="K221" i="2"/>
  <c r="R221" i="2"/>
  <c r="T221" i="2"/>
  <c r="AO221" i="2"/>
  <c r="AX221" i="2"/>
  <c r="AW220" i="2"/>
  <c r="AZ220" i="2"/>
  <c r="AY221" i="2"/>
  <c r="BA221" i="2"/>
  <c r="AK222" i="2"/>
  <c r="AH222" i="2"/>
  <c r="Y222" i="2"/>
  <c r="Z222" i="2"/>
  <c r="AA222" i="2"/>
  <c r="AB222" i="2"/>
  <c r="X222" i="2"/>
  <c r="W222" i="2"/>
  <c r="AL222" i="2"/>
  <c r="AD222" i="2"/>
  <c r="AC222" i="2"/>
  <c r="AE222" i="2"/>
  <c r="AM222" i="2"/>
  <c r="AN222" i="2"/>
  <c r="P222" i="2"/>
  <c r="Q222" i="2"/>
  <c r="G222" i="2"/>
  <c r="J222" i="2"/>
  <c r="F222" i="2"/>
  <c r="I222" i="2"/>
  <c r="S222" i="2"/>
  <c r="M222" i="2"/>
  <c r="L222" i="2"/>
  <c r="K222" i="2"/>
  <c r="R222" i="2"/>
  <c r="T222" i="2"/>
  <c r="AO222" i="2"/>
  <c r="AX222" i="2"/>
  <c r="AW221" i="2"/>
  <c r="AZ221" i="2"/>
  <c r="AY222" i="2"/>
  <c r="BA222" i="2"/>
  <c r="AK223" i="2"/>
  <c r="AH223" i="2"/>
  <c r="Y223" i="2"/>
  <c r="Z223" i="2"/>
  <c r="AA223" i="2"/>
  <c r="AB223" i="2"/>
  <c r="X223" i="2"/>
  <c r="W223" i="2"/>
  <c r="AL223" i="2"/>
  <c r="AD223" i="2"/>
  <c r="AC223" i="2"/>
  <c r="AE223" i="2"/>
  <c r="AM223" i="2"/>
  <c r="AN223" i="2"/>
  <c r="P223" i="2"/>
  <c r="Q223" i="2"/>
  <c r="G223" i="2"/>
  <c r="J223" i="2"/>
  <c r="F223" i="2"/>
  <c r="I223" i="2"/>
  <c r="S223" i="2"/>
  <c r="M223" i="2"/>
  <c r="L223" i="2"/>
  <c r="K223" i="2"/>
  <c r="R223" i="2"/>
  <c r="T223" i="2"/>
  <c r="AO223" i="2"/>
  <c r="AX223" i="2"/>
  <c r="AW222" i="2"/>
  <c r="AZ222" i="2"/>
  <c r="AY223" i="2"/>
  <c r="BA223" i="2"/>
  <c r="AK224" i="2"/>
  <c r="AH224" i="2"/>
  <c r="Y224" i="2"/>
  <c r="Z224" i="2"/>
  <c r="AA224" i="2"/>
  <c r="AB224" i="2"/>
  <c r="X224" i="2"/>
  <c r="W224" i="2"/>
  <c r="AL224" i="2"/>
  <c r="AD224" i="2"/>
  <c r="AC224" i="2"/>
  <c r="AE224" i="2"/>
  <c r="AM224" i="2"/>
  <c r="AN224" i="2"/>
  <c r="P224" i="2"/>
  <c r="Q224" i="2"/>
  <c r="G224" i="2"/>
  <c r="J224" i="2"/>
  <c r="F224" i="2"/>
  <c r="I224" i="2"/>
  <c r="S224" i="2"/>
  <c r="M224" i="2"/>
  <c r="L224" i="2"/>
  <c r="K224" i="2"/>
  <c r="R224" i="2"/>
  <c r="T224" i="2"/>
  <c r="AO224" i="2"/>
  <c r="AX224" i="2"/>
  <c r="AW223" i="2"/>
  <c r="AZ223" i="2"/>
  <c r="AY224" i="2"/>
  <c r="BA224" i="2"/>
  <c r="AK225" i="2"/>
  <c r="AH225" i="2"/>
  <c r="Y225" i="2"/>
  <c r="Z225" i="2"/>
  <c r="AA225" i="2"/>
  <c r="AB225" i="2"/>
  <c r="X225" i="2"/>
  <c r="W225" i="2"/>
  <c r="AL225" i="2"/>
  <c r="AD225" i="2"/>
  <c r="AC225" i="2"/>
  <c r="AE225" i="2"/>
  <c r="AM225" i="2"/>
  <c r="AN225" i="2"/>
  <c r="P225" i="2"/>
  <c r="Q225" i="2"/>
  <c r="G225" i="2"/>
  <c r="J225" i="2"/>
  <c r="F225" i="2"/>
  <c r="I225" i="2"/>
  <c r="S225" i="2"/>
  <c r="M225" i="2"/>
  <c r="L225" i="2"/>
  <c r="K225" i="2"/>
  <c r="R225" i="2"/>
  <c r="T225" i="2"/>
  <c r="AO225" i="2"/>
  <c r="AX225" i="2"/>
  <c r="AW224" i="2"/>
  <c r="AZ224" i="2"/>
  <c r="AY225" i="2"/>
  <c r="BA225" i="2"/>
  <c r="AK226" i="2"/>
  <c r="AH226" i="2"/>
  <c r="Y226" i="2"/>
  <c r="Z226" i="2"/>
  <c r="AA226" i="2"/>
  <c r="AB226" i="2"/>
  <c r="X226" i="2"/>
  <c r="W226" i="2"/>
  <c r="AL226" i="2"/>
  <c r="AD226" i="2"/>
  <c r="AC226" i="2"/>
  <c r="AE226" i="2"/>
  <c r="AM226" i="2"/>
  <c r="AN226" i="2"/>
  <c r="P226" i="2"/>
  <c r="Q226" i="2"/>
  <c r="G226" i="2"/>
  <c r="J226" i="2"/>
  <c r="F226" i="2"/>
  <c r="I226" i="2"/>
  <c r="S226" i="2"/>
  <c r="M226" i="2"/>
  <c r="L226" i="2"/>
  <c r="K226" i="2"/>
  <c r="R226" i="2"/>
  <c r="T226" i="2"/>
  <c r="AO226" i="2"/>
  <c r="AX226" i="2"/>
  <c r="AW225" i="2"/>
  <c r="AZ225" i="2"/>
  <c r="AY226" i="2"/>
  <c r="BA226" i="2"/>
  <c r="AK227" i="2"/>
  <c r="AH227" i="2"/>
  <c r="Y227" i="2"/>
  <c r="Z227" i="2"/>
  <c r="AA227" i="2"/>
  <c r="AB227" i="2"/>
  <c r="X227" i="2"/>
  <c r="W227" i="2"/>
  <c r="AL227" i="2"/>
  <c r="AD227" i="2"/>
  <c r="AC227" i="2"/>
  <c r="AE227" i="2"/>
  <c r="AM227" i="2"/>
  <c r="AN227" i="2"/>
  <c r="P227" i="2"/>
  <c r="Q227" i="2"/>
  <c r="G227" i="2"/>
  <c r="J227" i="2"/>
  <c r="F227" i="2"/>
  <c r="I227" i="2"/>
  <c r="S227" i="2"/>
  <c r="M227" i="2"/>
  <c r="L227" i="2"/>
  <c r="K227" i="2"/>
  <c r="R227" i="2"/>
  <c r="T227" i="2"/>
  <c r="AO227" i="2"/>
  <c r="AX227" i="2"/>
  <c r="AW226" i="2"/>
  <c r="AZ226" i="2"/>
  <c r="AY227" i="2"/>
  <c r="BA227" i="2"/>
  <c r="AK228" i="2"/>
  <c r="AH228" i="2"/>
  <c r="Y228" i="2"/>
  <c r="Z228" i="2"/>
  <c r="AA228" i="2"/>
  <c r="AB228" i="2"/>
  <c r="X228" i="2"/>
  <c r="W228" i="2"/>
  <c r="AL228" i="2"/>
  <c r="AD228" i="2"/>
  <c r="AC228" i="2"/>
  <c r="AE228" i="2"/>
  <c r="AM228" i="2"/>
  <c r="AN228" i="2"/>
  <c r="P228" i="2"/>
  <c r="Q228" i="2"/>
  <c r="G228" i="2"/>
  <c r="J228" i="2"/>
  <c r="F228" i="2"/>
  <c r="I228" i="2"/>
  <c r="S228" i="2"/>
  <c r="M228" i="2"/>
  <c r="L228" i="2"/>
  <c r="K228" i="2"/>
  <c r="R228" i="2"/>
  <c r="T228" i="2"/>
  <c r="AO228" i="2"/>
  <c r="AX228" i="2"/>
  <c r="AW227" i="2"/>
  <c r="AZ227" i="2"/>
  <c r="AY228" i="2"/>
  <c r="BA228" i="2"/>
  <c r="AK229" i="2"/>
  <c r="AH229" i="2"/>
  <c r="Y229" i="2"/>
  <c r="Z229" i="2"/>
  <c r="AA229" i="2"/>
  <c r="AB229" i="2"/>
  <c r="X229" i="2"/>
  <c r="W229" i="2"/>
  <c r="AL229" i="2"/>
  <c r="AD229" i="2"/>
  <c r="AC229" i="2"/>
  <c r="AE229" i="2"/>
  <c r="AM229" i="2"/>
  <c r="AN229" i="2"/>
  <c r="P229" i="2"/>
  <c r="Q229" i="2"/>
  <c r="G229" i="2"/>
  <c r="J229" i="2"/>
  <c r="F229" i="2"/>
  <c r="I229" i="2"/>
  <c r="S229" i="2"/>
  <c r="M229" i="2"/>
  <c r="L229" i="2"/>
  <c r="K229" i="2"/>
  <c r="R229" i="2"/>
  <c r="T229" i="2"/>
  <c r="AO229" i="2"/>
  <c r="AX229" i="2"/>
  <c r="AW228" i="2"/>
  <c r="AZ228" i="2"/>
  <c r="AY229" i="2"/>
  <c r="BA229" i="2"/>
  <c r="AK230" i="2"/>
  <c r="AH230" i="2"/>
  <c r="Y230" i="2"/>
  <c r="Z230" i="2"/>
  <c r="AA230" i="2"/>
  <c r="AB230" i="2"/>
  <c r="X230" i="2"/>
  <c r="W230" i="2"/>
  <c r="AL230" i="2"/>
  <c r="AD230" i="2"/>
  <c r="AC230" i="2"/>
  <c r="AE230" i="2"/>
  <c r="AM230" i="2"/>
  <c r="AN230" i="2"/>
  <c r="P230" i="2"/>
  <c r="Q230" i="2"/>
  <c r="G230" i="2"/>
  <c r="J230" i="2"/>
  <c r="F230" i="2"/>
  <c r="I230" i="2"/>
  <c r="S230" i="2"/>
  <c r="M230" i="2"/>
  <c r="L230" i="2"/>
  <c r="K230" i="2"/>
  <c r="R230" i="2"/>
  <c r="T230" i="2"/>
  <c r="AO230" i="2"/>
  <c r="AX230" i="2"/>
  <c r="AW229" i="2"/>
  <c r="AZ229" i="2"/>
  <c r="AY230" i="2"/>
  <c r="BA230" i="2"/>
  <c r="AK231" i="2"/>
  <c r="AH231" i="2"/>
  <c r="Y231" i="2"/>
  <c r="Z231" i="2"/>
  <c r="AA231" i="2"/>
  <c r="AB231" i="2"/>
  <c r="X231" i="2"/>
  <c r="W231" i="2"/>
  <c r="AL231" i="2"/>
  <c r="AD231" i="2"/>
  <c r="AC231" i="2"/>
  <c r="AE231" i="2"/>
  <c r="AM231" i="2"/>
  <c r="AN231" i="2"/>
  <c r="P231" i="2"/>
  <c r="Q231" i="2"/>
  <c r="G231" i="2"/>
  <c r="J231" i="2"/>
  <c r="F231" i="2"/>
  <c r="I231" i="2"/>
  <c r="S231" i="2"/>
  <c r="M231" i="2"/>
  <c r="L231" i="2"/>
  <c r="K231" i="2"/>
  <c r="R231" i="2"/>
  <c r="T231" i="2"/>
  <c r="AO231" i="2"/>
  <c r="AX231" i="2"/>
  <c r="AW230" i="2"/>
  <c r="AZ230" i="2"/>
  <c r="AY231" i="2"/>
  <c r="BA231" i="2"/>
  <c r="AK232" i="2"/>
  <c r="AH232" i="2"/>
  <c r="Y232" i="2"/>
  <c r="Z232" i="2"/>
  <c r="AA232" i="2"/>
  <c r="AB232" i="2"/>
  <c r="X232" i="2"/>
  <c r="W232" i="2"/>
  <c r="AL232" i="2"/>
  <c r="AD232" i="2"/>
  <c r="AC232" i="2"/>
  <c r="AE232" i="2"/>
  <c r="AM232" i="2"/>
  <c r="AN232" i="2"/>
  <c r="P232" i="2"/>
  <c r="Q232" i="2"/>
  <c r="G232" i="2"/>
  <c r="J232" i="2"/>
  <c r="F232" i="2"/>
  <c r="I232" i="2"/>
  <c r="S232" i="2"/>
  <c r="M232" i="2"/>
  <c r="L232" i="2"/>
  <c r="K232" i="2"/>
  <c r="R232" i="2"/>
  <c r="T232" i="2"/>
  <c r="AO232" i="2"/>
  <c r="AX232" i="2"/>
  <c r="AW231" i="2"/>
  <c r="AZ231" i="2"/>
  <c r="AY232" i="2"/>
  <c r="BA232" i="2"/>
  <c r="AK233" i="2"/>
  <c r="AH233" i="2"/>
  <c r="Y233" i="2"/>
  <c r="Z233" i="2"/>
  <c r="AA233" i="2"/>
  <c r="AB233" i="2"/>
  <c r="X233" i="2"/>
  <c r="W233" i="2"/>
  <c r="AL233" i="2"/>
  <c r="AD233" i="2"/>
  <c r="AC233" i="2"/>
  <c r="AE233" i="2"/>
  <c r="AM233" i="2"/>
  <c r="AN233" i="2"/>
  <c r="P233" i="2"/>
  <c r="Q233" i="2"/>
  <c r="G233" i="2"/>
  <c r="J233" i="2"/>
  <c r="F233" i="2"/>
  <c r="I233" i="2"/>
  <c r="S233" i="2"/>
  <c r="M233" i="2"/>
  <c r="L233" i="2"/>
  <c r="K233" i="2"/>
  <c r="R233" i="2"/>
  <c r="T233" i="2"/>
  <c r="AO233" i="2"/>
  <c r="AX233" i="2"/>
  <c r="AW232" i="2"/>
  <c r="AZ232" i="2"/>
  <c r="AY233" i="2"/>
  <c r="BA233" i="2"/>
  <c r="AK234" i="2"/>
  <c r="AH234" i="2"/>
  <c r="Y234" i="2"/>
  <c r="Z234" i="2"/>
  <c r="AA234" i="2"/>
  <c r="AB234" i="2"/>
  <c r="X234" i="2"/>
  <c r="W234" i="2"/>
  <c r="AL234" i="2"/>
  <c r="AD234" i="2"/>
  <c r="AC234" i="2"/>
  <c r="AE234" i="2"/>
  <c r="AM234" i="2"/>
  <c r="AN234" i="2"/>
  <c r="P234" i="2"/>
  <c r="Q234" i="2"/>
  <c r="G234" i="2"/>
  <c r="J234" i="2"/>
  <c r="F234" i="2"/>
  <c r="I234" i="2"/>
  <c r="S234" i="2"/>
  <c r="M234" i="2"/>
  <c r="L234" i="2"/>
  <c r="K234" i="2"/>
  <c r="R234" i="2"/>
  <c r="T234" i="2"/>
  <c r="AO234" i="2"/>
  <c r="AX234" i="2"/>
  <c r="AW233" i="2"/>
  <c r="AZ233" i="2"/>
  <c r="AY234" i="2"/>
  <c r="BA234" i="2"/>
  <c r="AK235" i="2"/>
  <c r="AH235" i="2"/>
  <c r="Y235" i="2"/>
  <c r="Z235" i="2"/>
  <c r="AA235" i="2"/>
  <c r="AB235" i="2"/>
  <c r="X235" i="2"/>
  <c r="W235" i="2"/>
  <c r="AL235" i="2"/>
  <c r="AD235" i="2"/>
  <c r="AC235" i="2"/>
  <c r="AE235" i="2"/>
  <c r="AM235" i="2"/>
  <c r="AN235" i="2"/>
  <c r="P235" i="2"/>
  <c r="Q235" i="2"/>
  <c r="G235" i="2"/>
  <c r="J235" i="2"/>
  <c r="F235" i="2"/>
  <c r="I235" i="2"/>
  <c r="S235" i="2"/>
  <c r="M235" i="2"/>
  <c r="L235" i="2"/>
  <c r="K235" i="2"/>
  <c r="R235" i="2"/>
  <c r="T235" i="2"/>
  <c r="AO235" i="2"/>
  <c r="AX235" i="2"/>
  <c r="AW234" i="2"/>
  <c r="AZ234" i="2"/>
  <c r="AY235" i="2"/>
  <c r="BA235" i="2"/>
  <c r="AK236" i="2"/>
  <c r="AH236" i="2"/>
  <c r="Y236" i="2"/>
  <c r="Z236" i="2"/>
  <c r="AA236" i="2"/>
  <c r="AB236" i="2"/>
  <c r="X236" i="2"/>
  <c r="W236" i="2"/>
  <c r="AL236" i="2"/>
  <c r="AD236" i="2"/>
  <c r="AC236" i="2"/>
  <c r="AE236" i="2"/>
  <c r="AM236" i="2"/>
  <c r="AN236" i="2"/>
  <c r="P236" i="2"/>
  <c r="Q236" i="2"/>
  <c r="G236" i="2"/>
  <c r="J236" i="2"/>
  <c r="F236" i="2"/>
  <c r="I236" i="2"/>
  <c r="S236" i="2"/>
  <c r="M236" i="2"/>
  <c r="L236" i="2"/>
  <c r="K236" i="2"/>
  <c r="R236" i="2"/>
  <c r="T236" i="2"/>
  <c r="AO236" i="2"/>
  <c r="AX236" i="2"/>
  <c r="AW235" i="2"/>
  <c r="AZ235" i="2"/>
  <c r="AY236" i="2"/>
  <c r="BA236" i="2"/>
  <c r="AK237" i="2"/>
  <c r="AH237" i="2"/>
  <c r="Y237" i="2"/>
  <c r="Z237" i="2"/>
  <c r="AA237" i="2"/>
  <c r="AB237" i="2"/>
  <c r="X237" i="2"/>
  <c r="W237" i="2"/>
  <c r="AL237" i="2"/>
  <c r="AD237" i="2"/>
  <c r="AC237" i="2"/>
  <c r="AE237" i="2"/>
  <c r="AM237" i="2"/>
  <c r="AN237" i="2"/>
  <c r="P237" i="2"/>
  <c r="Q237" i="2"/>
  <c r="G237" i="2"/>
  <c r="J237" i="2"/>
  <c r="F237" i="2"/>
  <c r="I237" i="2"/>
  <c r="S237" i="2"/>
  <c r="M237" i="2"/>
  <c r="L237" i="2"/>
  <c r="K237" i="2"/>
  <c r="R237" i="2"/>
  <c r="T237" i="2"/>
  <c r="AO237" i="2"/>
  <c r="AX237" i="2"/>
  <c r="AW236" i="2"/>
  <c r="AZ236" i="2"/>
  <c r="AY237" i="2"/>
  <c r="BA237" i="2"/>
  <c r="AK238" i="2"/>
  <c r="AH238" i="2"/>
  <c r="Y238" i="2"/>
  <c r="Z238" i="2"/>
  <c r="AA238" i="2"/>
  <c r="AB238" i="2"/>
  <c r="X238" i="2"/>
  <c r="W238" i="2"/>
  <c r="AL238" i="2"/>
  <c r="AD238" i="2"/>
  <c r="AC238" i="2"/>
  <c r="AE238" i="2"/>
  <c r="AM238" i="2"/>
  <c r="AN238" i="2"/>
  <c r="P238" i="2"/>
  <c r="Q238" i="2"/>
  <c r="G238" i="2"/>
  <c r="J238" i="2"/>
  <c r="F238" i="2"/>
  <c r="I238" i="2"/>
  <c r="S238" i="2"/>
  <c r="M238" i="2"/>
  <c r="L238" i="2"/>
  <c r="K238" i="2"/>
  <c r="R238" i="2"/>
  <c r="T238" i="2"/>
  <c r="AO238" i="2"/>
  <c r="AX238" i="2"/>
  <c r="AW237" i="2"/>
  <c r="AZ237" i="2"/>
  <c r="AY238" i="2"/>
  <c r="BA238" i="2"/>
  <c r="AK239" i="2"/>
  <c r="AH239" i="2"/>
  <c r="Y239" i="2"/>
  <c r="Z239" i="2"/>
  <c r="AA239" i="2"/>
  <c r="AB239" i="2"/>
  <c r="X239" i="2"/>
  <c r="W239" i="2"/>
  <c r="AL239" i="2"/>
  <c r="AD239" i="2"/>
  <c r="AC239" i="2"/>
  <c r="AE239" i="2"/>
  <c r="AM239" i="2"/>
  <c r="AN239" i="2"/>
  <c r="P239" i="2"/>
  <c r="Q239" i="2"/>
  <c r="G239" i="2"/>
  <c r="J239" i="2"/>
  <c r="F239" i="2"/>
  <c r="I239" i="2"/>
  <c r="S239" i="2"/>
  <c r="M239" i="2"/>
  <c r="L239" i="2"/>
  <c r="K239" i="2"/>
  <c r="R239" i="2"/>
  <c r="T239" i="2"/>
  <c r="AO239" i="2"/>
  <c r="AX239" i="2"/>
  <c r="AW238" i="2"/>
  <c r="AZ238" i="2"/>
  <c r="AY239" i="2"/>
  <c r="BA239" i="2"/>
  <c r="AK240" i="2"/>
  <c r="AH240" i="2"/>
  <c r="Y240" i="2"/>
  <c r="Z240" i="2"/>
  <c r="AA240" i="2"/>
  <c r="AB240" i="2"/>
  <c r="X240" i="2"/>
  <c r="W240" i="2"/>
  <c r="AL240" i="2"/>
  <c r="AD240" i="2"/>
  <c r="AC240" i="2"/>
  <c r="AE240" i="2"/>
  <c r="AM240" i="2"/>
  <c r="AN240" i="2"/>
  <c r="P240" i="2"/>
  <c r="Q240" i="2"/>
  <c r="G240" i="2"/>
  <c r="J240" i="2"/>
  <c r="F240" i="2"/>
  <c r="I240" i="2"/>
  <c r="S240" i="2"/>
  <c r="M240" i="2"/>
  <c r="L240" i="2"/>
  <c r="K240" i="2"/>
  <c r="R240" i="2"/>
  <c r="T240" i="2"/>
  <c r="AO240" i="2"/>
  <c r="AX240" i="2"/>
  <c r="AW239" i="2"/>
  <c r="AZ239" i="2"/>
  <c r="AY240" i="2"/>
  <c r="BA240" i="2"/>
  <c r="AK241" i="2"/>
  <c r="AH241" i="2"/>
  <c r="Y241" i="2"/>
  <c r="Z241" i="2"/>
  <c r="AA241" i="2"/>
  <c r="AB241" i="2"/>
  <c r="X241" i="2"/>
  <c r="W241" i="2"/>
  <c r="AL241" i="2"/>
  <c r="AD241" i="2"/>
  <c r="AC241" i="2"/>
  <c r="AE241" i="2"/>
  <c r="AM241" i="2"/>
  <c r="AN241" i="2"/>
  <c r="P241" i="2"/>
  <c r="Q241" i="2"/>
  <c r="G241" i="2"/>
  <c r="J241" i="2"/>
  <c r="F241" i="2"/>
  <c r="I241" i="2"/>
  <c r="S241" i="2"/>
  <c r="M241" i="2"/>
  <c r="L241" i="2"/>
  <c r="K241" i="2"/>
  <c r="R241" i="2"/>
  <c r="T241" i="2"/>
  <c r="AO241" i="2"/>
  <c r="AX241" i="2"/>
  <c r="AW240" i="2"/>
  <c r="AZ240" i="2"/>
  <c r="AY241" i="2"/>
  <c r="BA241" i="2"/>
  <c r="AK242" i="2"/>
  <c r="AH242" i="2"/>
  <c r="Y242" i="2"/>
  <c r="Z242" i="2"/>
  <c r="AA242" i="2"/>
  <c r="AB242" i="2"/>
  <c r="X242" i="2"/>
  <c r="W242" i="2"/>
  <c r="AL242" i="2"/>
  <c r="AD242" i="2"/>
  <c r="AC242" i="2"/>
  <c r="AE242" i="2"/>
  <c r="AM242" i="2"/>
  <c r="AN242" i="2"/>
  <c r="P242" i="2"/>
  <c r="Q242" i="2"/>
  <c r="G242" i="2"/>
  <c r="J242" i="2"/>
  <c r="F242" i="2"/>
  <c r="I242" i="2"/>
  <c r="S242" i="2"/>
  <c r="M242" i="2"/>
  <c r="L242" i="2"/>
  <c r="K242" i="2"/>
  <c r="R242" i="2"/>
  <c r="T242" i="2"/>
  <c r="AO242" i="2"/>
  <c r="AX242" i="2"/>
  <c r="AW241" i="2"/>
  <c r="AZ241" i="2"/>
  <c r="AY242" i="2"/>
  <c r="BA242" i="2"/>
  <c r="AK243" i="2"/>
  <c r="AH243" i="2"/>
  <c r="Y243" i="2"/>
  <c r="Z243" i="2"/>
  <c r="AA243" i="2"/>
  <c r="AB243" i="2"/>
  <c r="X243" i="2"/>
  <c r="W243" i="2"/>
  <c r="AL243" i="2"/>
  <c r="AD243" i="2"/>
  <c r="AC243" i="2"/>
  <c r="AE243" i="2"/>
  <c r="AM243" i="2"/>
  <c r="AN243" i="2"/>
  <c r="P243" i="2"/>
  <c r="Q243" i="2"/>
  <c r="G243" i="2"/>
  <c r="J243" i="2"/>
  <c r="F243" i="2"/>
  <c r="I243" i="2"/>
  <c r="S243" i="2"/>
  <c r="M243" i="2"/>
  <c r="L243" i="2"/>
  <c r="K243" i="2"/>
  <c r="R243" i="2"/>
  <c r="T243" i="2"/>
  <c r="AO243" i="2"/>
  <c r="AX243" i="2"/>
  <c r="AW242" i="2"/>
  <c r="AZ242" i="2"/>
  <c r="AY243" i="2"/>
  <c r="BA243" i="2"/>
  <c r="AK244" i="2"/>
  <c r="AH244" i="2"/>
  <c r="Y244" i="2"/>
  <c r="Z244" i="2"/>
  <c r="AA244" i="2"/>
  <c r="AB244" i="2"/>
  <c r="X244" i="2"/>
  <c r="W244" i="2"/>
  <c r="AL244" i="2"/>
  <c r="AD244" i="2"/>
  <c r="AC244" i="2"/>
  <c r="AE244" i="2"/>
  <c r="AM244" i="2"/>
  <c r="AN244" i="2"/>
  <c r="P244" i="2"/>
  <c r="Q244" i="2"/>
  <c r="G244" i="2"/>
  <c r="J244" i="2"/>
  <c r="F244" i="2"/>
  <c r="I244" i="2"/>
  <c r="S244" i="2"/>
  <c r="M244" i="2"/>
  <c r="L244" i="2"/>
  <c r="K244" i="2"/>
  <c r="R244" i="2"/>
  <c r="T244" i="2"/>
  <c r="AO244" i="2"/>
  <c r="AX244" i="2"/>
  <c r="AW243" i="2"/>
  <c r="AZ243" i="2"/>
  <c r="AY244" i="2"/>
  <c r="BA244" i="2"/>
  <c r="AK245" i="2"/>
  <c r="AH245" i="2"/>
  <c r="Y245" i="2"/>
  <c r="Z245" i="2"/>
  <c r="AA245" i="2"/>
  <c r="AB245" i="2"/>
  <c r="X245" i="2"/>
  <c r="W245" i="2"/>
  <c r="AL245" i="2"/>
  <c r="AD245" i="2"/>
  <c r="AC245" i="2"/>
  <c r="AE245" i="2"/>
  <c r="AM245" i="2"/>
  <c r="AN245" i="2"/>
  <c r="P245" i="2"/>
  <c r="Q245" i="2"/>
  <c r="G245" i="2"/>
  <c r="J245" i="2"/>
  <c r="F245" i="2"/>
  <c r="I245" i="2"/>
  <c r="S245" i="2"/>
  <c r="M245" i="2"/>
  <c r="L245" i="2"/>
  <c r="K245" i="2"/>
  <c r="R245" i="2"/>
  <c r="T245" i="2"/>
  <c r="AO245" i="2"/>
  <c r="AX245" i="2"/>
  <c r="AW244" i="2"/>
  <c r="AZ244" i="2"/>
  <c r="AY245" i="2"/>
  <c r="BA245" i="2"/>
  <c r="AK246" i="2"/>
  <c r="AH246" i="2"/>
  <c r="Y246" i="2"/>
  <c r="Z246" i="2"/>
  <c r="AA246" i="2"/>
  <c r="AB246" i="2"/>
  <c r="X246" i="2"/>
  <c r="W246" i="2"/>
  <c r="AL246" i="2"/>
  <c r="AD246" i="2"/>
  <c r="AC246" i="2"/>
  <c r="AE246" i="2"/>
  <c r="AM246" i="2"/>
  <c r="AN246" i="2"/>
  <c r="P246" i="2"/>
  <c r="Q246" i="2"/>
  <c r="G246" i="2"/>
  <c r="J246" i="2"/>
  <c r="F246" i="2"/>
  <c r="I246" i="2"/>
  <c r="S246" i="2"/>
  <c r="M246" i="2"/>
  <c r="L246" i="2"/>
  <c r="K246" i="2"/>
  <c r="R246" i="2"/>
  <c r="T246" i="2"/>
  <c r="AO246" i="2"/>
  <c r="AX246" i="2"/>
  <c r="AW245" i="2"/>
  <c r="AZ245" i="2"/>
  <c r="AY246" i="2"/>
  <c r="BA246" i="2"/>
  <c r="AK247" i="2"/>
  <c r="AH247" i="2"/>
  <c r="Y247" i="2"/>
  <c r="Z247" i="2"/>
  <c r="AA247" i="2"/>
  <c r="AB247" i="2"/>
  <c r="X247" i="2"/>
  <c r="W247" i="2"/>
  <c r="AL247" i="2"/>
  <c r="AD247" i="2"/>
  <c r="AC247" i="2"/>
  <c r="AE247" i="2"/>
  <c r="AM247" i="2"/>
  <c r="AN247" i="2"/>
  <c r="P247" i="2"/>
  <c r="Q247" i="2"/>
  <c r="G247" i="2"/>
  <c r="J247" i="2"/>
  <c r="F247" i="2"/>
  <c r="I247" i="2"/>
  <c r="S247" i="2"/>
  <c r="M247" i="2"/>
  <c r="L247" i="2"/>
  <c r="K247" i="2"/>
  <c r="R247" i="2"/>
  <c r="T247" i="2"/>
  <c r="AO247" i="2"/>
  <c r="AX247" i="2"/>
  <c r="AW246" i="2"/>
  <c r="AZ246" i="2"/>
  <c r="AY247" i="2"/>
  <c r="BA247" i="2"/>
  <c r="AK248" i="2"/>
  <c r="AH248" i="2"/>
  <c r="Y248" i="2"/>
  <c r="Z248" i="2"/>
  <c r="AA248" i="2"/>
  <c r="AB248" i="2"/>
  <c r="X248" i="2"/>
  <c r="W248" i="2"/>
  <c r="AL248" i="2"/>
  <c r="AD248" i="2"/>
  <c r="AC248" i="2"/>
  <c r="AE248" i="2"/>
  <c r="AM248" i="2"/>
  <c r="AN248" i="2"/>
  <c r="P248" i="2"/>
  <c r="Q248" i="2"/>
  <c r="G248" i="2"/>
  <c r="J248" i="2"/>
  <c r="F248" i="2"/>
  <c r="I248" i="2"/>
  <c r="S248" i="2"/>
  <c r="M248" i="2"/>
  <c r="L248" i="2"/>
  <c r="K248" i="2"/>
  <c r="R248" i="2"/>
  <c r="T248" i="2"/>
  <c r="AO248" i="2"/>
  <c r="AX248" i="2"/>
  <c r="AW247" i="2"/>
  <c r="AZ247" i="2"/>
  <c r="AY248" i="2"/>
  <c r="BA248" i="2"/>
  <c r="AK249" i="2"/>
  <c r="AH249" i="2"/>
  <c r="Y249" i="2"/>
  <c r="Z249" i="2"/>
  <c r="AA249" i="2"/>
  <c r="AB249" i="2"/>
  <c r="X249" i="2"/>
  <c r="W249" i="2"/>
  <c r="AL249" i="2"/>
  <c r="AD249" i="2"/>
  <c r="AC249" i="2"/>
  <c r="AE249" i="2"/>
  <c r="AM249" i="2"/>
  <c r="AN249" i="2"/>
  <c r="P249" i="2"/>
  <c r="Q249" i="2"/>
  <c r="G249" i="2"/>
  <c r="J249" i="2"/>
  <c r="F249" i="2"/>
  <c r="I249" i="2"/>
  <c r="S249" i="2"/>
  <c r="M249" i="2"/>
  <c r="L249" i="2"/>
  <c r="K249" i="2"/>
  <c r="R249" i="2"/>
  <c r="T249" i="2"/>
  <c r="AO249" i="2"/>
  <c r="AX249" i="2"/>
  <c r="AW248" i="2"/>
  <c r="AZ248" i="2"/>
  <c r="AY249" i="2"/>
  <c r="BA249" i="2"/>
  <c r="AK250" i="2"/>
  <c r="AH250" i="2"/>
  <c r="Y250" i="2"/>
  <c r="Z250" i="2"/>
  <c r="AA250" i="2"/>
  <c r="AB250" i="2"/>
  <c r="X250" i="2"/>
  <c r="W250" i="2"/>
  <c r="AL250" i="2"/>
  <c r="AD250" i="2"/>
  <c r="AC250" i="2"/>
  <c r="AE250" i="2"/>
  <c r="AM250" i="2"/>
  <c r="AN250" i="2"/>
  <c r="P250" i="2"/>
  <c r="Q250" i="2"/>
  <c r="G250" i="2"/>
  <c r="J250" i="2"/>
  <c r="F250" i="2"/>
  <c r="I250" i="2"/>
  <c r="S250" i="2"/>
  <c r="M250" i="2"/>
  <c r="L250" i="2"/>
  <c r="K250" i="2"/>
  <c r="R250" i="2"/>
  <c r="T250" i="2"/>
  <c r="AO250" i="2"/>
  <c r="AX250" i="2"/>
  <c r="AW249" i="2"/>
  <c r="AZ249" i="2"/>
  <c r="AY250" i="2"/>
  <c r="BA250" i="2"/>
  <c r="AK251" i="2"/>
  <c r="AH251" i="2"/>
  <c r="Y251" i="2"/>
  <c r="Z251" i="2"/>
  <c r="AA251" i="2"/>
  <c r="AB251" i="2"/>
  <c r="X251" i="2"/>
  <c r="W251" i="2"/>
  <c r="AL251" i="2"/>
  <c r="AD251" i="2"/>
  <c r="AC251" i="2"/>
  <c r="AE251" i="2"/>
  <c r="AM251" i="2"/>
  <c r="AN251" i="2"/>
  <c r="P251" i="2"/>
  <c r="Q251" i="2"/>
  <c r="G251" i="2"/>
  <c r="J251" i="2"/>
  <c r="F251" i="2"/>
  <c r="I251" i="2"/>
  <c r="S251" i="2"/>
  <c r="M251" i="2"/>
  <c r="L251" i="2"/>
  <c r="K251" i="2"/>
  <c r="R251" i="2"/>
  <c r="T251" i="2"/>
  <c r="AO251" i="2"/>
  <c r="AX251" i="2"/>
  <c r="AW250" i="2"/>
  <c r="AZ250" i="2"/>
  <c r="AY251" i="2"/>
  <c r="BA251" i="2"/>
  <c r="AK252" i="2"/>
  <c r="AH252" i="2"/>
  <c r="Y252" i="2"/>
  <c r="Z252" i="2"/>
  <c r="AA252" i="2"/>
  <c r="AB252" i="2"/>
  <c r="X252" i="2"/>
  <c r="W252" i="2"/>
  <c r="AL252" i="2"/>
  <c r="AD252" i="2"/>
  <c r="AC252" i="2"/>
  <c r="AE252" i="2"/>
  <c r="AM252" i="2"/>
  <c r="AN252" i="2"/>
  <c r="P252" i="2"/>
  <c r="Q252" i="2"/>
  <c r="G252" i="2"/>
  <c r="J252" i="2"/>
  <c r="F252" i="2"/>
  <c r="I252" i="2"/>
  <c r="S252" i="2"/>
  <c r="M252" i="2"/>
  <c r="L252" i="2"/>
  <c r="K252" i="2"/>
  <c r="R252" i="2"/>
  <c r="T252" i="2"/>
  <c r="AO252" i="2"/>
  <c r="AX252" i="2"/>
  <c r="AW251" i="2"/>
  <c r="AZ251" i="2"/>
  <c r="AY252" i="2"/>
  <c r="BA252" i="2"/>
  <c r="AK253" i="2"/>
  <c r="AH253" i="2"/>
  <c r="Y253" i="2"/>
  <c r="Z253" i="2"/>
  <c r="AA253" i="2"/>
  <c r="AB253" i="2"/>
  <c r="X253" i="2"/>
  <c r="W253" i="2"/>
  <c r="AL253" i="2"/>
  <c r="AD253" i="2"/>
  <c r="AC253" i="2"/>
  <c r="AE253" i="2"/>
  <c r="AM253" i="2"/>
  <c r="AN253" i="2"/>
  <c r="P253" i="2"/>
  <c r="Q253" i="2"/>
  <c r="G253" i="2"/>
  <c r="J253" i="2"/>
  <c r="F253" i="2"/>
  <c r="I253" i="2"/>
  <c r="S253" i="2"/>
  <c r="M253" i="2"/>
  <c r="L253" i="2"/>
  <c r="K253" i="2"/>
  <c r="R253" i="2"/>
  <c r="T253" i="2"/>
  <c r="AO253" i="2"/>
  <c r="AX253" i="2"/>
  <c r="AW252" i="2"/>
  <c r="AZ252" i="2"/>
  <c r="AY253" i="2"/>
  <c r="BA253" i="2"/>
  <c r="AK254" i="2"/>
  <c r="AH254" i="2"/>
  <c r="Y254" i="2"/>
  <c r="Z254" i="2"/>
  <c r="AA254" i="2"/>
  <c r="AB254" i="2"/>
  <c r="X254" i="2"/>
  <c r="W254" i="2"/>
  <c r="AL254" i="2"/>
  <c r="AD254" i="2"/>
  <c r="AC254" i="2"/>
  <c r="AE254" i="2"/>
  <c r="AM254" i="2"/>
  <c r="AN254" i="2"/>
  <c r="P254" i="2"/>
  <c r="Q254" i="2"/>
  <c r="G254" i="2"/>
  <c r="J254" i="2"/>
  <c r="F254" i="2"/>
  <c r="I254" i="2"/>
  <c r="S254" i="2"/>
  <c r="M254" i="2"/>
  <c r="L254" i="2"/>
  <c r="K254" i="2"/>
  <c r="R254" i="2"/>
  <c r="T254" i="2"/>
  <c r="AO254" i="2"/>
  <c r="AX254" i="2"/>
  <c r="AW253" i="2"/>
  <c r="AZ253" i="2"/>
  <c r="AY254" i="2"/>
  <c r="BA254" i="2"/>
  <c r="AK255" i="2"/>
  <c r="AH255" i="2"/>
  <c r="Y255" i="2"/>
  <c r="Z255" i="2"/>
  <c r="AA255" i="2"/>
  <c r="AB255" i="2"/>
  <c r="X255" i="2"/>
  <c r="W255" i="2"/>
  <c r="AL255" i="2"/>
  <c r="AD255" i="2"/>
  <c r="AC255" i="2"/>
  <c r="AE255" i="2"/>
  <c r="AM255" i="2"/>
  <c r="AN255" i="2"/>
  <c r="P255" i="2"/>
  <c r="Q255" i="2"/>
  <c r="G255" i="2"/>
  <c r="J255" i="2"/>
  <c r="F255" i="2"/>
  <c r="I255" i="2"/>
  <c r="S255" i="2"/>
  <c r="M255" i="2"/>
  <c r="L255" i="2"/>
  <c r="K255" i="2"/>
  <c r="R255" i="2"/>
  <c r="T255" i="2"/>
  <c r="AO255" i="2"/>
  <c r="AX255" i="2"/>
  <c r="AW254" i="2"/>
  <c r="AZ254" i="2"/>
  <c r="AY255" i="2"/>
  <c r="BA255" i="2"/>
  <c r="AK256" i="2"/>
  <c r="AH256" i="2"/>
  <c r="Y256" i="2"/>
  <c r="Z256" i="2"/>
  <c r="AA256" i="2"/>
  <c r="AB256" i="2"/>
  <c r="X256" i="2"/>
  <c r="W256" i="2"/>
  <c r="AL256" i="2"/>
  <c r="AD256" i="2"/>
  <c r="AC256" i="2"/>
  <c r="AE256" i="2"/>
  <c r="AM256" i="2"/>
  <c r="AN256" i="2"/>
  <c r="P256" i="2"/>
  <c r="Q256" i="2"/>
  <c r="G256" i="2"/>
  <c r="J256" i="2"/>
  <c r="F256" i="2"/>
  <c r="I256" i="2"/>
  <c r="S256" i="2"/>
  <c r="M256" i="2"/>
  <c r="L256" i="2"/>
  <c r="K256" i="2"/>
  <c r="R256" i="2"/>
  <c r="T256" i="2"/>
  <c r="AO256" i="2"/>
  <c r="AX256" i="2"/>
  <c r="AW255" i="2"/>
  <c r="AZ255" i="2"/>
  <c r="AY256" i="2"/>
  <c r="BA256" i="2"/>
  <c r="AK257" i="2"/>
  <c r="AH257" i="2"/>
  <c r="Y257" i="2"/>
  <c r="Z257" i="2"/>
  <c r="AA257" i="2"/>
  <c r="AB257" i="2"/>
  <c r="X257" i="2"/>
  <c r="W257" i="2"/>
  <c r="AL257" i="2"/>
  <c r="AD257" i="2"/>
  <c r="AC257" i="2"/>
  <c r="AE257" i="2"/>
  <c r="AM257" i="2"/>
  <c r="AN257" i="2"/>
  <c r="P257" i="2"/>
  <c r="Q257" i="2"/>
  <c r="G257" i="2"/>
  <c r="J257" i="2"/>
  <c r="F257" i="2"/>
  <c r="I257" i="2"/>
  <c r="S257" i="2"/>
  <c r="M257" i="2"/>
  <c r="L257" i="2"/>
  <c r="K257" i="2"/>
  <c r="R257" i="2"/>
  <c r="T257" i="2"/>
  <c r="AO257" i="2"/>
  <c r="AX257" i="2"/>
  <c r="AW256" i="2"/>
  <c r="AZ256" i="2"/>
  <c r="AY257" i="2"/>
  <c r="BA257" i="2"/>
  <c r="AK258" i="2"/>
  <c r="AH258" i="2"/>
  <c r="Y258" i="2"/>
  <c r="Z258" i="2"/>
  <c r="AA258" i="2"/>
  <c r="AB258" i="2"/>
  <c r="X258" i="2"/>
  <c r="W258" i="2"/>
  <c r="AL258" i="2"/>
  <c r="AD258" i="2"/>
  <c r="AC258" i="2"/>
  <c r="AE258" i="2"/>
  <c r="AM258" i="2"/>
  <c r="AN258" i="2"/>
  <c r="P258" i="2"/>
  <c r="Q258" i="2"/>
  <c r="G258" i="2"/>
  <c r="J258" i="2"/>
  <c r="F258" i="2"/>
  <c r="I258" i="2"/>
  <c r="S258" i="2"/>
  <c r="M258" i="2"/>
  <c r="L258" i="2"/>
  <c r="K258" i="2"/>
  <c r="R258" i="2"/>
  <c r="T258" i="2"/>
  <c r="AO258" i="2"/>
  <c r="AX258" i="2"/>
  <c r="AW257" i="2"/>
  <c r="AZ257" i="2"/>
  <c r="AY258" i="2"/>
  <c r="BA258" i="2"/>
  <c r="AK259" i="2"/>
  <c r="AH259" i="2"/>
  <c r="Y259" i="2"/>
  <c r="Z259" i="2"/>
  <c r="AA259" i="2"/>
  <c r="AB259" i="2"/>
  <c r="X259" i="2"/>
  <c r="W259" i="2"/>
  <c r="AL259" i="2"/>
  <c r="AD259" i="2"/>
  <c r="AC259" i="2"/>
  <c r="AE259" i="2"/>
  <c r="AM259" i="2"/>
  <c r="AN259" i="2"/>
  <c r="P259" i="2"/>
  <c r="Q259" i="2"/>
  <c r="G259" i="2"/>
  <c r="J259" i="2"/>
  <c r="F259" i="2"/>
  <c r="I259" i="2"/>
  <c r="S259" i="2"/>
  <c r="M259" i="2"/>
  <c r="L259" i="2"/>
  <c r="K259" i="2"/>
  <c r="R259" i="2"/>
  <c r="T259" i="2"/>
  <c r="AO259" i="2"/>
  <c r="AX259" i="2"/>
  <c r="AW258" i="2"/>
  <c r="AZ258" i="2"/>
  <c r="AY259" i="2"/>
  <c r="BA259" i="2"/>
  <c r="AK260" i="2"/>
  <c r="AH260" i="2"/>
  <c r="Y260" i="2"/>
  <c r="Z260" i="2"/>
  <c r="AA260" i="2"/>
  <c r="AB260" i="2"/>
  <c r="X260" i="2"/>
  <c r="W260" i="2"/>
  <c r="AL260" i="2"/>
  <c r="AD260" i="2"/>
  <c r="AC260" i="2"/>
  <c r="AE260" i="2"/>
  <c r="AM260" i="2"/>
  <c r="AN260" i="2"/>
  <c r="P260" i="2"/>
  <c r="Q260" i="2"/>
  <c r="G260" i="2"/>
  <c r="J260" i="2"/>
  <c r="F260" i="2"/>
  <c r="I260" i="2"/>
  <c r="S260" i="2"/>
  <c r="M260" i="2"/>
  <c r="L260" i="2"/>
  <c r="K260" i="2"/>
  <c r="R260" i="2"/>
  <c r="T260" i="2"/>
  <c r="AO260" i="2"/>
  <c r="AX260" i="2"/>
  <c r="AW259" i="2"/>
  <c r="AZ259" i="2"/>
  <c r="AY260" i="2"/>
  <c r="BA260" i="2"/>
  <c r="AK261" i="2"/>
  <c r="AH261" i="2"/>
  <c r="Y261" i="2"/>
  <c r="Z261" i="2"/>
  <c r="AA261" i="2"/>
  <c r="AB261" i="2"/>
  <c r="X261" i="2"/>
  <c r="W261" i="2"/>
  <c r="AL261" i="2"/>
  <c r="AD261" i="2"/>
  <c r="AC261" i="2"/>
  <c r="AE261" i="2"/>
  <c r="AM261" i="2"/>
  <c r="AN261" i="2"/>
  <c r="P261" i="2"/>
  <c r="Q261" i="2"/>
  <c r="G261" i="2"/>
  <c r="J261" i="2"/>
  <c r="F261" i="2"/>
  <c r="I261" i="2"/>
  <c r="S261" i="2"/>
  <c r="M261" i="2"/>
  <c r="L261" i="2"/>
  <c r="K261" i="2"/>
  <c r="R261" i="2"/>
  <c r="T261" i="2"/>
  <c r="AO261" i="2"/>
  <c r="AX261" i="2"/>
  <c r="AW260" i="2"/>
  <c r="AZ260" i="2"/>
  <c r="AY261" i="2"/>
  <c r="BA261" i="2"/>
  <c r="AK262" i="2"/>
  <c r="AH262" i="2"/>
  <c r="Y262" i="2"/>
  <c r="Z262" i="2"/>
  <c r="AA262" i="2"/>
  <c r="AB262" i="2"/>
  <c r="X262" i="2"/>
  <c r="W262" i="2"/>
  <c r="AL262" i="2"/>
  <c r="AD262" i="2"/>
  <c r="AC262" i="2"/>
  <c r="AE262" i="2"/>
  <c r="AM262" i="2"/>
  <c r="AN262" i="2"/>
  <c r="P262" i="2"/>
  <c r="Q262" i="2"/>
  <c r="G262" i="2"/>
  <c r="J262" i="2"/>
  <c r="F262" i="2"/>
  <c r="I262" i="2"/>
  <c r="S262" i="2"/>
  <c r="M262" i="2"/>
  <c r="L262" i="2"/>
  <c r="K262" i="2"/>
  <c r="R262" i="2"/>
  <c r="T262" i="2"/>
  <c r="AO262" i="2"/>
  <c r="AX262" i="2"/>
  <c r="AW261" i="2"/>
  <c r="AZ261" i="2"/>
  <c r="AY262" i="2"/>
  <c r="BA262" i="2"/>
  <c r="AK263" i="2"/>
  <c r="AH263" i="2"/>
  <c r="Y263" i="2"/>
  <c r="Z263" i="2"/>
  <c r="AA263" i="2"/>
  <c r="AB263" i="2"/>
  <c r="X263" i="2"/>
  <c r="W263" i="2"/>
  <c r="AL263" i="2"/>
  <c r="AD263" i="2"/>
  <c r="AC263" i="2"/>
  <c r="AE263" i="2"/>
  <c r="AM263" i="2"/>
  <c r="AN263" i="2"/>
  <c r="P263" i="2"/>
  <c r="Q263" i="2"/>
  <c r="G263" i="2"/>
  <c r="J263" i="2"/>
  <c r="F263" i="2"/>
  <c r="I263" i="2"/>
  <c r="S263" i="2"/>
  <c r="M263" i="2"/>
  <c r="L263" i="2"/>
  <c r="K263" i="2"/>
  <c r="R263" i="2"/>
  <c r="T263" i="2"/>
  <c r="AO263" i="2"/>
  <c r="AX263" i="2"/>
  <c r="AW262" i="2"/>
  <c r="AZ262" i="2"/>
  <c r="AY263" i="2"/>
  <c r="BA263" i="2"/>
  <c r="AK264" i="2"/>
  <c r="AH264" i="2"/>
  <c r="Y264" i="2"/>
  <c r="Z264" i="2"/>
  <c r="AA264" i="2"/>
  <c r="AB264" i="2"/>
  <c r="X264" i="2"/>
  <c r="W264" i="2"/>
  <c r="AL264" i="2"/>
  <c r="AD264" i="2"/>
  <c r="AC264" i="2"/>
  <c r="AE264" i="2"/>
  <c r="AM264" i="2"/>
  <c r="AN264" i="2"/>
  <c r="P264" i="2"/>
  <c r="Q264" i="2"/>
  <c r="G264" i="2"/>
  <c r="J264" i="2"/>
  <c r="F264" i="2"/>
  <c r="I264" i="2"/>
  <c r="S264" i="2"/>
  <c r="M264" i="2"/>
  <c r="L264" i="2"/>
  <c r="K264" i="2"/>
  <c r="R264" i="2"/>
  <c r="T264" i="2"/>
  <c r="AO264" i="2"/>
  <c r="AX264" i="2"/>
  <c r="AW263" i="2"/>
  <c r="AZ263" i="2"/>
  <c r="AY264" i="2"/>
  <c r="BA264" i="2"/>
  <c r="AK265" i="2"/>
  <c r="AH265" i="2"/>
  <c r="Y265" i="2"/>
  <c r="Z265" i="2"/>
  <c r="AA265" i="2"/>
  <c r="AB265" i="2"/>
  <c r="X265" i="2"/>
  <c r="W265" i="2"/>
  <c r="AL265" i="2"/>
  <c r="AD265" i="2"/>
  <c r="AC265" i="2"/>
  <c r="AE265" i="2"/>
  <c r="AM265" i="2"/>
  <c r="AN265" i="2"/>
  <c r="P265" i="2"/>
  <c r="Q265" i="2"/>
  <c r="G265" i="2"/>
  <c r="J265" i="2"/>
  <c r="F265" i="2"/>
  <c r="I265" i="2"/>
  <c r="S265" i="2"/>
  <c r="M265" i="2"/>
  <c r="L265" i="2"/>
  <c r="K265" i="2"/>
  <c r="R265" i="2"/>
  <c r="T265" i="2"/>
  <c r="AO265" i="2"/>
  <c r="AX265" i="2"/>
  <c r="AW264" i="2"/>
  <c r="AZ264" i="2"/>
  <c r="AY265" i="2"/>
  <c r="BA265" i="2"/>
  <c r="AK266" i="2"/>
  <c r="AH266" i="2"/>
  <c r="Y266" i="2"/>
  <c r="Z266" i="2"/>
  <c r="AA266" i="2"/>
  <c r="AB266" i="2"/>
  <c r="X266" i="2"/>
  <c r="W266" i="2"/>
  <c r="AL266" i="2"/>
  <c r="AD266" i="2"/>
  <c r="AC266" i="2"/>
  <c r="AE266" i="2"/>
  <c r="AM266" i="2"/>
  <c r="AN266" i="2"/>
  <c r="P266" i="2"/>
  <c r="Q266" i="2"/>
  <c r="G266" i="2"/>
  <c r="J266" i="2"/>
  <c r="F266" i="2"/>
  <c r="I266" i="2"/>
  <c r="S266" i="2"/>
  <c r="M266" i="2"/>
  <c r="L266" i="2"/>
  <c r="K266" i="2"/>
  <c r="R266" i="2"/>
  <c r="T266" i="2"/>
  <c r="AO266" i="2"/>
  <c r="AX266" i="2"/>
  <c r="AW265" i="2"/>
  <c r="AZ265" i="2"/>
  <c r="AY266" i="2"/>
  <c r="BA266" i="2"/>
  <c r="AK267" i="2"/>
  <c r="AH267" i="2"/>
  <c r="Y267" i="2"/>
  <c r="Z267" i="2"/>
  <c r="AA267" i="2"/>
  <c r="AB267" i="2"/>
  <c r="X267" i="2"/>
  <c r="W267" i="2"/>
  <c r="AL267" i="2"/>
  <c r="AD267" i="2"/>
  <c r="AC267" i="2"/>
  <c r="AE267" i="2"/>
  <c r="AM267" i="2"/>
  <c r="AN267" i="2"/>
  <c r="P267" i="2"/>
  <c r="Q267" i="2"/>
  <c r="G267" i="2"/>
  <c r="J267" i="2"/>
  <c r="F267" i="2"/>
  <c r="I267" i="2"/>
  <c r="S267" i="2"/>
  <c r="M267" i="2"/>
  <c r="L267" i="2"/>
  <c r="K267" i="2"/>
  <c r="R267" i="2"/>
  <c r="T267" i="2"/>
  <c r="AO267" i="2"/>
  <c r="AX267" i="2"/>
  <c r="AW266" i="2"/>
  <c r="AZ266" i="2"/>
  <c r="AY267" i="2"/>
  <c r="BA267" i="2"/>
  <c r="AK268" i="2"/>
  <c r="AH268" i="2"/>
  <c r="Y268" i="2"/>
  <c r="Z268" i="2"/>
  <c r="AA268" i="2"/>
  <c r="AB268" i="2"/>
  <c r="X268" i="2"/>
  <c r="W268" i="2"/>
  <c r="AL268" i="2"/>
  <c r="AD268" i="2"/>
  <c r="AC268" i="2"/>
  <c r="AE268" i="2"/>
  <c r="AM268" i="2"/>
  <c r="AN268" i="2"/>
  <c r="P268" i="2"/>
  <c r="Q268" i="2"/>
  <c r="G268" i="2"/>
  <c r="J268" i="2"/>
  <c r="F268" i="2"/>
  <c r="I268" i="2"/>
  <c r="S268" i="2"/>
  <c r="M268" i="2"/>
  <c r="L268" i="2"/>
  <c r="K268" i="2"/>
  <c r="R268" i="2"/>
  <c r="T268" i="2"/>
  <c r="AO268" i="2"/>
  <c r="AX268" i="2"/>
  <c r="AW267" i="2"/>
  <c r="AZ267" i="2"/>
  <c r="AY268" i="2"/>
  <c r="BA268" i="2"/>
  <c r="AK269" i="2"/>
  <c r="AH269" i="2"/>
  <c r="Y269" i="2"/>
  <c r="Z269" i="2"/>
  <c r="AA269" i="2"/>
  <c r="AB269" i="2"/>
  <c r="X269" i="2"/>
  <c r="W269" i="2"/>
  <c r="AL269" i="2"/>
  <c r="AD269" i="2"/>
  <c r="AC269" i="2"/>
  <c r="AE269" i="2"/>
  <c r="AM269" i="2"/>
  <c r="AN269" i="2"/>
  <c r="P269" i="2"/>
  <c r="Q269" i="2"/>
  <c r="G269" i="2"/>
  <c r="J269" i="2"/>
  <c r="F269" i="2"/>
  <c r="I269" i="2"/>
  <c r="S269" i="2"/>
  <c r="M269" i="2"/>
  <c r="L269" i="2"/>
  <c r="K269" i="2"/>
  <c r="R269" i="2"/>
  <c r="T269" i="2"/>
  <c r="AO269" i="2"/>
  <c r="AX269" i="2"/>
  <c r="AW268" i="2"/>
  <c r="AZ268" i="2"/>
  <c r="AY269" i="2"/>
  <c r="BA269" i="2"/>
  <c r="AK270" i="2"/>
  <c r="AH270" i="2"/>
  <c r="Y270" i="2"/>
  <c r="Z270" i="2"/>
  <c r="AA270" i="2"/>
  <c r="AB270" i="2"/>
  <c r="X270" i="2"/>
  <c r="W270" i="2"/>
  <c r="AL270" i="2"/>
  <c r="AD270" i="2"/>
  <c r="AC270" i="2"/>
  <c r="AE270" i="2"/>
  <c r="AM270" i="2"/>
  <c r="AN270" i="2"/>
  <c r="P270" i="2"/>
  <c r="Q270" i="2"/>
  <c r="G270" i="2"/>
  <c r="J270" i="2"/>
  <c r="F270" i="2"/>
  <c r="I270" i="2"/>
  <c r="S270" i="2"/>
  <c r="M270" i="2"/>
  <c r="L270" i="2"/>
  <c r="K270" i="2"/>
  <c r="R270" i="2"/>
  <c r="T270" i="2"/>
  <c r="AO270" i="2"/>
  <c r="AX270" i="2"/>
  <c r="AW269" i="2"/>
  <c r="AZ269" i="2"/>
  <c r="AY270" i="2"/>
  <c r="BA270" i="2"/>
  <c r="AK271" i="2"/>
  <c r="AH271" i="2"/>
  <c r="Y271" i="2"/>
  <c r="Z271" i="2"/>
  <c r="AA271" i="2"/>
  <c r="AB271" i="2"/>
  <c r="X271" i="2"/>
  <c r="W271" i="2"/>
  <c r="AL271" i="2"/>
  <c r="AD271" i="2"/>
  <c r="AC271" i="2"/>
  <c r="AE271" i="2"/>
  <c r="AM271" i="2"/>
  <c r="AN271" i="2"/>
  <c r="P271" i="2"/>
  <c r="Q271" i="2"/>
  <c r="G271" i="2"/>
  <c r="J271" i="2"/>
  <c r="F271" i="2"/>
  <c r="I271" i="2"/>
  <c r="S271" i="2"/>
  <c r="M271" i="2"/>
  <c r="L271" i="2"/>
  <c r="K271" i="2"/>
  <c r="R271" i="2"/>
  <c r="T271" i="2"/>
  <c r="AO271" i="2"/>
  <c r="AX271" i="2"/>
  <c r="AW270" i="2"/>
  <c r="AZ270" i="2"/>
  <c r="AY271" i="2"/>
  <c r="BA271" i="2"/>
  <c r="AK272" i="2"/>
  <c r="AH272" i="2"/>
  <c r="Y272" i="2"/>
  <c r="Z272" i="2"/>
  <c r="AA272" i="2"/>
  <c r="AB272" i="2"/>
  <c r="X272" i="2"/>
  <c r="W272" i="2"/>
  <c r="AL272" i="2"/>
  <c r="AD272" i="2"/>
  <c r="AC272" i="2"/>
  <c r="AE272" i="2"/>
  <c r="AM272" i="2"/>
  <c r="AN272" i="2"/>
  <c r="P272" i="2"/>
  <c r="Q272" i="2"/>
  <c r="G272" i="2"/>
  <c r="J272" i="2"/>
  <c r="F272" i="2"/>
  <c r="I272" i="2"/>
  <c r="S272" i="2"/>
  <c r="M272" i="2"/>
  <c r="L272" i="2"/>
  <c r="K272" i="2"/>
  <c r="R272" i="2"/>
  <c r="T272" i="2"/>
  <c r="AO272" i="2"/>
  <c r="AX272" i="2"/>
  <c r="AW271" i="2"/>
  <c r="AZ271" i="2"/>
  <c r="AY272" i="2"/>
  <c r="BA272" i="2"/>
  <c r="AK273" i="2"/>
  <c r="AH273" i="2"/>
  <c r="Y273" i="2"/>
  <c r="Z273" i="2"/>
  <c r="AA273" i="2"/>
  <c r="AB273" i="2"/>
  <c r="X273" i="2"/>
  <c r="W273" i="2"/>
  <c r="AL273" i="2"/>
  <c r="AD273" i="2"/>
  <c r="AC273" i="2"/>
  <c r="AE273" i="2"/>
  <c r="AM273" i="2"/>
  <c r="AN273" i="2"/>
  <c r="P273" i="2"/>
  <c r="Q273" i="2"/>
  <c r="G273" i="2"/>
  <c r="J273" i="2"/>
  <c r="F273" i="2"/>
  <c r="I273" i="2"/>
  <c r="S273" i="2"/>
  <c r="M273" i="2"/>
  <c r="L273" i="2"/>
  <c r="K273" i="2"/>
  <c r="R273" i="2"/>
  <c r="T273" i="2"/>
  <c r="AO273" i="2"/>
  <c r="AX273" i="2"/>
  <c r="AW272" i="2"/>
  <c r="AZ272" i="2"/>
  <c r="AY273" i="2"/>
  <c r="BA273" i="2"/>
  <c r="AK274" i="2"/>
  <c r="AH274" i="2"/>
  <c r="Y274" i="2"/>
  <c r="Z274" i="2"/>
  <c r="AA274" i="2"/>
  <c r="AB274" i="2"/>
  <c r="X274" i="2"/>
  <c r="W274" i="2"/>
  <c r="AL274" i="2"/>
  <c r="AD274" i="2"/>
  <c r="AC274" i="2"/>
  <c r="AE274" i="2"/>
  <c r="AM274" i="2"/>
  <c r="AN274" i="2"/>
  <c r="P274" i="2"/>
  <c r="Q274" i="2"/>
  <c r="G274" i="2"/>
  <c r="J274" i="2"/>
  <c r="F274" i="2"/>
  <c r="I274" i="2"/>
  <c r="S274" i="2"/>
  <c r="M274" i="2"/>
  <c r="L274" i="2"/>
  <c r="K274" i="2"/>
  <c r="R274" i="2"/>
  <c r="T274" i="2"/>
  <c r="AO274" i="2"/>
  <c r="AX274" i="2"/>
  <c r="AW273" i="2"/>
  <c r="AZ273" i="2"/>
  <c r="AY274" i="2"/>
  <c r="BA274" i="2"/>
  <c r="AK275" i="2"/>
  <c r="AH275" i="2"/>
  <c r="Y275" i="2"/>
  <c r="Z275" i="2"/>
  <c r="AA275" i="2"/>
  <c r="AB275" i="2"/>
  <c r="X275" i="2"/>
  <c r="W275" i="2"/>
  <c r="AL275" i="2"/>
  <c r="AD275" i="2"/>
  <c r="AC275" i="2"/>
  <c r="AE275" i="2"/>
  <c r="AM275" i="2"/>
  <c r="AN275" i="2"/>
  <c r="P275" i="2"/>
  <c r="Q275" i="2"/>
  <c r="G275" i="2"/>
  <c r="J275" i="2"/>
  <c r="F275" i="2"/>
  <c r="I275" i="2"/>
  <c r="S275" i="2"/>
  <c r="M275" i="2"/>
  <c r="L275" i="2"/>
  <c r="K275" i="2"/>
  <c r="R275" i="2"/>
  <c r="T275" i="2"/>
  <c r="AO275" i="2"/>
  <c r="AX275" i="2"/>
  <c r="AW274" i="2"/>
  <c r="AZ274" i="2"/>
  <c r="AY275" i="2"/>
  <c r="BA275" i="2"/>
  <c r="AK276" i="2"/>
  <c r="AH276" i="2"/>
  <c r="Y276" i="2"/>
  <c r="Z276" i="2"/>
  <c r="AA276" i="2"/>
  <c r="AB276" i="2"/>
  <c r="X276" i="2"/>
  <c r="W276" i="2"/>
  <c r="AL276" i="2"/>
  <c r="AD276" i="2"/>
  <c r="AC276" i="2"/>
  <c r="AE276" i="2"/>
  <c r="AM276" i="2"/>
  <c r="AN276" i="2"/>
  <c r="P276" i="2"/>
  <c r="Q276" i="2"/>
  <c r="G276" i="2"/>
  <c r="J276" i="2"/>
  <c r="F276" i="2"/>
  <c r="I276" i="2"/>
  <c r="S276" i="2"/>
  <c r="M276" i="2"/>
  <c r="L276" i="2"/>
  <c r="K276" i="2"/>
  <c r="R276" i="2"/>
  <c r="T276" i="2"/>
  <c r="AO276" i="2"/>
  <c r="AX276" i="2"/>
  <c r="AW275" i="2"/>
  <c r="AZ275" i="2"/>
  <c r="AY276" i="2"/>
  <c r="BA276" i="2"/>
  <c r="AK277" i="2"/>
  <c r="AH277" i="2"/>
  <c r="Y277" i="2"/>
  <c r="Z277" i="2"/>
  <c r="AA277" i="2"/>
  <c r="AB277" i="2"/>
  <c r="X277" i="2"/>
  <c r="W277" i="2"/>
  <c r="AL277" i="2"/>
  <c r="AD277" i="2"/>
  <c r="AC277" i="2"/>
  <c r="AE277" i="2"/>
  <c r="AM277" i="2"/>
  <c r="AN277" i="2"/>
  <c r="P277" i="2"/>
  <c r="Q277" i="2"/>
  <c r="G277" i="2"/>
  <c r="J277" i="2"/>
  <c r="F277" i="2"/>
  <c r="I277" i="2"/>
  <c r="S277" i="2"/>
  <c r="M277" i="2"/>
  <c r="L277" i="2"/>
  <c r="K277" i="2"/>
  <c r="R277" i="2"/>
  <c r="T277" i="2"/>
  <c r="AO277" i="2"/>
  <c r="AX277" i="2"/>
  <c r="AW276" i="2"/>
  <c r="AZ276" i="2"/>
  <c r="AY277" i="2"/>
  <c r="BA277" i="2"/>
  <c r="AK278" i="2"/>
  <c r="AH278" i="2"/>
  <c r="Y278" i="2"/>
  <c r="Z278" i="2"/>
  <c r="AA278" i="2"/>
  <c r="AB278" i="2"/>
  <c r="X278" i="2"/>
  <c r="W278" i="2"/>
  <c r="AL278" i="2"/>
  <c r="AD278" i="2"/>
  <c r="AC278" i="2"/>
  <c r="AE278" i="2"/>
  <c r="AM278" i="2"/>
  <c r="AN278" i="2"/>
  <c r="P278" i="2"/>
  <c r="Q278" i="2"/>
  <c r="G278" i="2"/>
  <c r="J278" i="2"/>
  <c r="F278" i="2"/>
  <c r="I278" i="2"/>
  <c r="S278" i="2"/>
  <c r="M278" i="2"/>
  <c r="L278" i="2"/>
  <c r="K278" i="2"/>
  <c r="R278" i="2"/>
  <c r="T278" i="2"/>
  <c r="AO278" i="2"/>
  <c r="AX278" i="2"/>
  <c r="AW277" i="2"/>
  <c r="AZ277" i="2"/>
  <c r="AY278" i="2"/>
  <c r="BA278" i="2"/>
  <c r="AK279" i="2"/>
  <c r="AH279" i="2"/>
  <c r="Y279" i="2"/>
  <c r="Z279" i="2"/>
  <c r="AA279" i="2"/>
  <c r="AB279" i="2"/>
  <c r="X279" i="2"/>
  <c r="W279" i="2"/>
  <c r="AL279" i="2"/>
  <c r="AD279" i="2"/>
  <c r="AC279" i="2"/>
  <c r="AE279" i="2"/>
  <c r="AM279" i="2"/>
  <c r="AN279" i="2"/>
  <c r="P279" i="2"/>
  <c r="Q279" i="2"/>
  <c r="G279" i="2"/>
  <c r="J279" i="2"/>
  <c r="F279" i="2"/>
  <c r="I279" i="2"/>
  <c r="S279" i="2"/>
  <c r="M279" i="2"/>
  <c r="L279" i="2"/>
  <c r="K279" i="2"/>
  <c r="R279" i="2"/>
  <c r="T279" i="2"/>
  <c r="AO279" i="2"/>
  <c r="AX279" i="2"/>
  <c r="AW278" i="2"/>
  <c r="AZ278" i="2"/>
  <c r="AY279" i="2"/>
  <c r="BA279" i="2"/>
  <c r="AK280" i="2"/>
  <c r="AH280" i="2"/>
  <c r="Y280" i="2"/>
  <c r="Z280" i="2"/>
  <c r="AA280" i="2"/>
  <c r="AB280" i="2"/>
  <c r="X280" i="2"/>
  <c r="W280" i="2"/>
  <c r="AL280" i="2"/>
  <c r="AD280" i="2"/>
  <c r="AC280" i="2"/>
  <c r="AE280" i="2"/>
  <c r="AM280" i="2"/>
  <c r="AN280" i="2"/>
  <c r="P280" i="2"/>
  <c r="Q280" i="2"/>
  <c r="G280" i="2"/>
  <c r="J280" i="2"/>
  <c r="F280" i="2"/>
  <c r="I280" i="2"/>
  <c r="S280" i="2"/>
  <c r="M280" i="2"/>
  <c r="L280" i="2"/>
  <c r="K280" i="2"/>
  <c r="R280" i="2"/>
  <c r="T280" i="2"/>
  <c r="AO280" i="2"/>
  <c r="AX280" i="2"/>
  <c r="AW279" i="2"/>
  <c r="AZ279" i="2"/>
  <c r="AY280" i="2"/>
  <c r="BA280" i="2"/>
  <c r="AK281" i="2"/>
  <c r="AH281" i="2"/>
  <c r="Y281" i="2"/>
  <c r="Z281" i="2"/>
  <c r="AA281" i="2"/>
  <c r="AB281" i="2"/>
  <c r="X281" i="2"/>
  <c r="W281" i="2"/>
  <c r="AL281" i="2"/>
  <c r="AD281" i="2"/>
  <c r="AC281" i="2"/>
  <c r="AE281" i="2"/>
  <c r="AM281" i="2"/>
  <c r="AN281" i="2"/>
  <c r="P281" i="2"/>
  <c r="Q281" i="2"/>
  <c r="G281" i="2"/>
  <c r="J281" i="2"/>
  <c r="F281" i="2"/>
  <c r="I281" i="2"/>
  <c r="S281" i="2"/>
  <c r="M281" i="2"/>
  <c r="L281" i="2"/>
  <c r="K281" i="2"/>
  <c r="R281" i="2"/>
  <c r="T281" i="2"/>
  <c r="AO281" i="2"/>
  <c r="AX281" i="2"/>
  <c r="AW280" i="2"/>
  <c r="AZ280" i="2"/>
  <c r="AY281" i="2"/>
  <c r="BA281" i="2"/>
  <c r="AK282" i="2"/>
  <c r="AH282" i="2"/>
  <c r="Y282" i="2"/>
  <c r="Z282" i="2"/>
  <c r="AA282" i="2"/>
  <c r="AB282" i="2"/>
  <c r="X282" i="2"/>
  <c r="W282" i="2"/>
  <c r="AL282" i="2"/>
  <c r="AD282" i="2"/>
  <c r="AC282" i="2"/>
  <c r="AE282" i="2"/>
  <c r="AM282" i="2"/>
  <c r="AN282" i="2"/>
  <c r="P282" i="2"/>
  <c r="Q282" i="2"/>
  <c r="G282" i="2"/>
  <c r="J282" i="2"/>
  <c r="F282" i="2"/>
  <c r="I282" i="2"/>
  <c r="S282" i="2"/>
  <c r="M282" i="2"/>
  <c r="L282" i="2"/>
  <c r="K282" i="2"/>
  <c r="R282" i="2"/>
  <c r="T282" i="2"/>
  <c r="AO282" i="2"/>
  <c r="AX282" i="2"/>
  <c r="AW281" i="2"/>
  <c r="AZ281" i="2"/>
  <c r="AY282" i="2"/>
  <c r="BA282" i="2"/>
  <c r="AK283" i="2"/>
  <c r="AH283" i="2"/>
  <c r="Y283" i="2"/>
  <c r="Z283" i="2"/>
  <c r="AA283" i="2"/>
  <c r="AB283" i="2"/>
  <c r="X283" i="2"/>
  <c r="W283" i="2"/>
  <c r="AL283" i="2"/>
  <c r="AD283" i="2"/>
  <c r="AC283" i="2"/>
  <c r="AE283" i="2"/>
  <c r="AM283" i="2"/>
  <c r="AN283" i="2"/>
  <c r="P283" i="2"/>
  <c r="Q283" i="2"/>
  <c r="G283" i="2"/>
  <c r="J283" i="2"/>
  <c r="F283" i="2"/>
  <c r="I283" i="2"/>
  <c r="S283" i="2"/>
  <c r="M283" i="2"/>
  <c r="L283" i="2"/>
  <c r="K283" i="2"/>
  <c r="R283" i="2"/>
  <c r="T283" i="2"/>
  <c r="AO283" i="2"/>
  <c r="AX283" i="2"/>
  <c r="AW282" i="2"/>
  <c r="AZ282" i="2"/>
  <c r="AY283" i="2"/>
  <c r="BA283" i="2"/>
  <c r="AK284" i="2"/>
  <c r="AH284" i="2"/>
  <c r="Y284" i="2"/>
  <c r="Z284" i="2"/>
  <c r="AA284" i="2"/>
  <c r="AB284" i="2"/>
  <c r="X284" i="2"/>
  <c r="W284" i="2"/>
  <c r="AL284" i="2"/>
  <c r="AD284" i="2"/>
  <c r="AC284" i="2"/>
  <c r="AE284" i="2"/>
  <c r="AM284" i="2"/>
  <c r="AN284" i="2"/>
  <c r="P284" i="2"/>
  <c r="Q284" i="2"/>
  <c r="G284" i="2"/>
  <c r="J284" i="2"/>
  <c r="F284" i="2"/>
  <c r="I284" i="2"/>
  <c r="S284" i="2"/>
  <c r="M284" i="2"/>
  <c r="L284" i="2"/>
  <c r="K284" i="2"/>
  <c r="R284" i="2"/>
  <c r="T284" i="2"/>
  <c r="AO284" i="2"/>
  <c r="AX284" i="2"/>
  <c r="AW283" i="2"/>
  <c r="AZ283" i="2"/>
  <c r="AY284" i="2"/>
  <c r="BA284" i="2"/>
  <c r="AK285" i="2"/>
  <c r="AH285" i="2"/>
  <c r="Y285" i="2"/>
  <c r="Z285" i="2"/>
  <c r="AA285" i="2"/>
  <c r="AB285" i="2"/>
  <c r="X285" i="2"/>
  <c r="W285" i="2"/>
  <c r="AL285" i="2"/>
  <c r="AD285" i="2"/>
  <c r="AC285" i="2"/>
  <c r="AE285" i="2"/>
  <c r="AM285" i="2"/>
  <c r="AN285" i="2"/>
  <c r="P285" i="2"/>
  <c r="Q285" i="2"/>
  <c r="G285" i="2"/>
  <c r="J285" i="2"/>
  <c r="F285" i="2"/>
  <c r="I285" i="2"/>
  <c r="S285" i="2"/>
  <c r="M285" i="2"/>
  <c r="L285" i="2"/>
  <c r="K285" i="2"/>
  <c r="R285" i="2"/>
  <c r="T285" i="2"/>
  <c r="AO285" i="2"/>
  <c r="AX285" i="2"/>
  <c r="AW284" i="2"/>
  <c r="AZ284" i="2"/>
  <c r="AY285" i="2"/>
  <c r="BA285" i="2"/>
  <c r="AK286" i="2"/>
  <c r="AH286" i="2"/>
  <c r="Y286" i="2"/>
  <c r="Z286" i="2"/>
  <c r="AA286" i="2"/>
  <c r="AB286" i="2"/>
  <c r="X286" i="2"/>
  <c r="W286" i="2"/>
  <c r="AL286" i="2"/>
  <c r="AD286" i="2"/>
  <c r="AC286" i="2"/>
  <c r="AE286" i="2"/>
  <c r="AM286" i="2"/>
  <c r="AN286" i="2"/>
  <c r="P286" i="2"/>
  <c r="Q286" i="2"/>
  <c r="G286" i="2"/>
  <c r="J286" i="2"/>
  <c r="F286" i="2"/>
  <c r="I286" i="2"/>
  <c r="S286" i="2"/>
  <c r="M286" i="2"/>
  <c r="L286" i="2"/>
  <c r="K286" i="2"/>
  <c r="R286" i="2"/>
  <c r="T286" i="2"/>
  <c r="AO286" i="2"/>
  <c r="AX286" i="2"/>
  <c r="AW285" i="2"/>
  <c r="AZ285" i="2"/>
  <c r="AY286" i="2"/>
  <c r="BA286" i="2"/>
  <c r="AK287" i="2"/>
  <c r="AH287" i="2"/>
  <c r="Y287" i="2"/>
  <c r="Z287" i="2"/>
  <c r="AA287" i="2"/>
  <c r="AB287" i="2"/>
  <c r="X287" i="2"/>
  <c r="W287" i="2"/>
  <c r="AL287" i="2"/>
  <c r="AD287" i="2"/>
  <c r="AC287" i="2"/>
  <c r="AE287" i="2"/>
  <c r="AM287" i="2"/>
  <c r="AN287" i="2"/>
  <c r="P287" i="2"/>
  <c r="Q287" i="2"/>
  <c r="G287" i="2"/>
  <c r="J287" i="2"/>
  <c r="F287" i="2"/>
  <c r="I287" i="2"/>
  <c r="S287" i="2"/>
  <c r="M287" i="2"/>
  <c r="L287" i="2"/>
  <c r="K287" i="2"/>
  <c r="R287" i="2"/>
  <c r="T287" i="2"/>
  <c r="AO287" i="2"/>
  <c r="AX287" i="2"/>
  <c r="AW286" i="2"/>
  <c r="AZ286" i="2"/>
  <c r="AY287" i="2"/>
  <c r="BA287" i="2"/>
  <c r="AK288" i="2"/>
  <c r="AH288" i="2"/>
  <c r="Y288" i="2"/>
  <c r="Z288" i="2"/>
  <c r="AA288" i="2"/>
  <c r="AB288" i="2"/>
  <c r="X288" i="2"/>
  <c r="W288" i="2"/>
  <c r="AL288" i="2"/>
  <c r="AD288" i="2"/>
  <c r="AC288" i="2"/>
  <c r="AE288" i="2"/>
  <c r="AM288" i="2"/>
  <c r="AN288" i="2"/>
  <c r="P288" i="2"/>
  <c r="Q288" i="2"/>
  <c r="G288" i="2"/>
  <c r="J288" i="2"/>
  <c r="F288" i="2"/>
  <c r="I288" i="2"/>
  <c r="S288" i="2"/>
  <c r="M288" i="2"/>
  <c r="L288" i="2"/>
  <c r="K288" i="2"/>
  <c r="R288" i="2"/>
  <c r="T288" i="2"/>
  <c r="AO288" i="2"/>
  <c r="AX288" i="2"/>
  <c r="AW287" i="2"/>
  <c r="AZ287" i="2"/>
  <c r="AY288" i="2"/>
  <c r="BA288" i="2"/>
  <c r="AK289" i="2"/>
  <c r="AH289" i="2"/>
  <c r="Y289" i="2"/>
  <c r="Z289" i="2"/>
  <c r="AA289" i="2"/>
  <c r="AB289" i="2"/>
  <c r="X289" i="2"/>
  <c r="W289" i="2"/>
  <c r="AL289" i="2"/>
  <c r="AD289" i="2"/>
  <c r="AC289" i="2"/>
  <c r="AE289" i="2"/>
  <c r="AM289" i="2"/>
  <c r="AN289" i="2"/>
  <c r="P289" i="2"/>
  <c r="Q289" i="2"/>
  <c r="G289" i="2"/>
  <c r="J289" i="2"/>
  <c r="F289" i="2"/>
  <c r="I289" i="2"/>
  <c r="S289" i="2"/>
  <c r="M289" i="2"/>
  <c r="L289" i="2"/>
  <c r="K289" i="2"/>
  <c r="R289" i="2"/>
  <c r="T289" i="2"/>
  <c r="AO289" i="2"/>
  <c r="AX289" i="2"/>
  <c r="AW288" i="2"/>
  <c r="AZ288" i="2"/>
  <c r="AY289" i="2"/>
  <c r="BA289" i="2"/>
  <c r="AK290" i="2"/>
  <c r="AH290" i="2"/>
  <c r="Y290" i="2"/>
  <c r="Z290" i="2"/>
  <c r="AA290" i="2"/>
  <c r="AB290" i="2"/>
  <c r="X290" i="2"/>
  <c r="W290" i="2"/>
  <c r="AL290" i="2"/>
  <c r="AD290" i="2"/>
  <c r="AC290" i="2"/>
  <c r="AE290" i="2"/>
  <c r="AM290" i="2"/>
  <c r="AN290" i="2"/>
  <c r="P290" i="2"/>
  <c r="Q290" i="2"/>
  <c r="G290" i="2"/>
  <c r="J290" i="2"/>
  <c r="F290" i="2"/>
  <c r="I290" i="2"/>
  <c r="S290" i="2"/>
  <c r="M290" i="2"/>
  <c r="L290" i="2"/>
  <c r="K290" i="2"/>
  <c r="R290" i="2"/>
  <c r="T290" i="2"/>
  <c r="AO290" i="2"/>
  <c r="AX290" i="2"/>
  <c r="AW289" i="2"/>
  <c r="AZ289" i="2"/>
  <c r="AY290" i="2"/>
  <c r="BA290" i="2"/>
  <c r="AK291" i="2"/>
  <c r="AH291" i="2"/>
  <c r="Y291" i="2"/>
  <c r="Z291" i="2"/>
  <c r="AA291" i="2"/>
  <c r="AB291" i="2"/>
  <c r="X291" i="2"/>
  <c r="W291" i="2"/>
  <c r="AL291" i="2"/>
  <c r="AD291" i="2"/>
  <c r="AC291" i="2"/>
  <c r="AE291" i="2"/>
  <c r="AM291" i="2"/>
  <c r="AN291" i="2"/>
  <c r="P291" i="2"/>
  <c r="Q291" i="2"/>
  <c r="G291" i="2"/>
  <c r="J291" i="2"/>
  <c r="F291" i="2"/>
  <c r="I291" i="2"/>
  <c r="S291" i="2"/>
  <c r="M291" i="2"/>
  <c r="L291" i="2"/>
  <c r="K291" i="2"/>
  <c r="R291" i="2"/>
  <c r="T291" i="2"/>
  <c r="AO291" i="2"/>
  <c r="AX291" i="2"/>
  <c r="AW290" i="2"/>
  <c r="AZ290" i="2"/>
  <c r="AY291" i="2"/>
  <c r="BA291" i="2"/>
  <c r="AK292" i="2"/>
  <c r="AH292" i="2"/>
  <c r="Y292" i="2"/>
  <c r="Z292" i="2"/>
  <c r="AA292" i="2"/>
  <c r="AB292" i="2"/>
  <c r="X292" i="2"/>
  <c r="W292" i="2"/>
  <c r="AL292" i="2"/>
  <c r="AD292" i="2"/>
  <c r="AC292" i="2"/>
  <c r="AE292" i="2"/>
  <c r="AM292" i="2"/>
  <c r="AN292" i="2"/>
  <c r="P292" i="2"/>
  <c r="Q292" i="2"/>
  <c r="G292" i="2"/>
  <c r="J292" i="2"/>
  <c r="F292" i="2"/>
  <c r="I292" i="2"/>
  <c r="S292" i="2"/>
  <c r="M292" i="2"/>
  <c r="L292" i="2"/>
  <c r="K292" i="2"/>
  <c r="R292" i="2"/>
  <c r="T292" i="2"/>
  <c r="AO292" i="2"/>
  <c r="AX292" i="2"/>
  <c r="AW291" i="2"/>
  <c r="AZ291" i="2"/>
  <c r="AY292" i="2"/>
  <c r="BA292" i="2"/>
  <c r="AK293" i="2"/>
  <c r="AH293" i="2"/>
  <c r="Y293" i="2"/>
  <c r="Z293" i="2"/>
  <c r="AA293" i="2"/>
  <c r="AB293" i="2"/>
  <c r="X293" i="2"/>
  <c r="W293" i="2"/>
  <c r="AL293" i="2"/>
  <c r="AD293" i="2"/>
  <c r="AC293" i="2"/>
  <c r="AE293" i="2"/>
  <c r="AM293" i="2"/>
  <c r="AN293" i="2"/>
  <c r="P293" i="2"/>
  <c r="Q293" i="2"/>
  <c r="G293" i="2"/>
  <c r="J293" i="2"/>
  <c r="F293" i="2"/>
  <c r="I293" i="2"/>
  <c r="S293" i="2"/>
  <c r="M293" i="2"/>
  <c r="L293" i="2"/>
  <c r="K293" i="2"/>
  <c r="R293" i="2"/>
  <c r="T293" i="2"/>
  <c r="AO293" i="2"/>
  <c r="AX293" i="2"/>
  <c r="AW292" i="2"/>
  <c r="AZ292" i="2"/>
  <c r="AY293" i="2"/>
  <c r="BA293" i="2"/>
  <c r="AK294" i="2"/>
  <c r="AH294" i="2"/>
  <c r="Y294" i="2"/>
  <c r="Z294" i="2"/>
  <c r="AA294" i="2"/>
  <c r="AB294" i="2"/>
  <c r="X294" i="2"/>
  <c r="W294" i="2"/>
  <c r="AL294" i="2"/>
  <c r="AD294" i="2"/>
  <c r="AC294" i="2"/>
  <c r="AE294" i="2"/>
  <c r="AM294" i="2"/>
  <c r="AN294" i="2"/>
  <c r="P294" i="2"/>
  <c r="Q294" i="2"/>
  <c r="G294" i="2"/>
  <c r="J294" i="2"/>
  <c r="F294" i="2"/>
  <c r="I294" i="2"/>
  <c r="S294" i="2"/>
  <c r="M294" i="2"/>
  <c r="L294" i="2"/>
  <c r="K294" i="2"/>
  <c r="R294" i="2"/>
  <c r="T294" i="2"/>
  <c r="AO294" i="2"/>
  <c r="AX294" i="2"/>
  <c r="AW293" i="2"/>
  <c r="AZ293" i="2"/>
  <c r="AY294" i="2"/>
  <c r="BA294" i="2"/>
  <c r="AK295" i="2"/>
  <c r="AH295" i="2"/>
  <c r="Y295" i="2"/>
  <c r="Z295" i="2"/>
  <c r="AA295" i="2"/>
  <c r="AB295" i="2"/>
  <c r="X295" i="2"/>
  <c r="W295" i="2"/>
  <c r="AL295" i="2"/>
  <c r="AD295" i="2"/>
  <c r="AC295" i="2"/>
  <c r="AE295" i="2"/>
  <c r="AM295" i="2"/>
  <c r="AN295" i="2"/>
  <c r="P295" i="2"/>
  <c r="Q295" i="2"/>
  <c r="G295" i="2"/>
  <c r="J295" i="2"/>
  <c r="F295" i="2"/>
  <c r="I295" i="2"/>
  <c r="S295" i="2"/>
  <c r="M295" i="2"/>
  <c r="L295" i="2"/>
  <c r="K295" i="2"/>
  <c r="R295" i="2"/>
  <c r="T295" i="2"/>
  <c r="AO295" i="2"/>
  <c r="AX295" i="2"/>
  <c r="AW294" i="2"/>
  <c r="AZ294" i="2"/>
  <c r="AY295" i="2"/>
  <c r="BA295" i="2"/>
  <c r="AK296" i="2"/>
  <c r="AH296" i="2"/>
  <c r="Y296" i="2"/>
  <c r="Z296" i="2"/>
  <c r="AA296" i="2"/>
  <c r="AB296" i="2"/>
  <c r="X296" i="2"/>
  <c r="W296" i="2"/>
  <c r="AL296" i="2"/>
  <c r="AD296" i="2"/>
  <c r="AC296" i="2"/>
  <c r="AE296" i="2"/>
  <c r="AM296" i="2"/>
  <c r="AN296" i="2"/>
  <c r="P296" i="2"/>
  <c r="Q296" i="2"/>
  <c r="G296" i="2"/>
  <c r="J296" i="2"/>
  <c r="F296" i="2"/>
  <c r="I296" i="2"/>
  <c r="S296" i="2"/>
  <c r="M296" i="2"/>
  <c r="L296" i="2"/>
  <c r="K296" i="2"/>
  <c r="R296" i="2"/>
  <c r="T296" i="2"/>
  <c r="AO296" i="2"/>
  <c r="AX296" i="2"/>
  <c r="AW295" i="2"/>
  <c r="AZ295" i="2"/>
  <c r="AY296" i="2"/>
  <c r="BA296" i="2"/>
  <c r="AK297" i="2"/>
  <c r="AH297" i="2"/>
  <c r="Y297" i="2"/>
  <c r="Z297" i="2"/>
  <c r="AA297" i="2"/>
  <c r="AB297" i="2"/>
  <c r="X297" i="2"/>
  <c r="W297" i="2"/>
  <c r="AL297" i="2"/>
  <c r="AD297" i="2"/>
  <c r="AC297" i="2"/>
  <c r="AE297" i="2"/>
  <c r="AM297" i="2"/>
  <c r="AN297" i="2"/>
  <c r="P297" i="2"/>
  <c r="Q297" i="2"/>
  <c r="G297" i="2"/>
  <c r="J297" i="2"/>
  <c r="F297" i="2"/>
  <c r="I297" i="2"/>
  <c r="S297" i="2"/>
  <c r="M297" i="2"/>
  <c r="L297" i="2"/>
  <c r="K297" i="2"/>
  <c r="R297" i="2"/>
  <c r="T297" i="2"/>
  <c r="AO297" i="2"/>
  <c r="AX297" i="2"/>
  <c r="AW296" i="2"/>
  <c r="AZ296" i="2"/>
  <c r="AY297" i="2"/>
  <c r="BA297" i="2"/>
  <c r="AK298" i="2"/>
  <c r="AH298" i="2"/>
  <c r="Y298" i="2"/>
  <c r="Z298" i="2"/>
  <c r="AA298" i="2"/>
  <c r="AB298" i="2"/>
  <c r="X298" i="2"/>
  <c r="W298" i="2"/>
  <c r="AL298" i="2"/>
  <c r="AD298" i="2"/>
  <c r="AC298" i="2"/>
  <c r="AE298" i="2"/>
  <c r="AM298" i="2"/>
  <c r="AN298" i="2"/>
  <c r="P298" i="2"/>
  <c r="Q298" i="2"/>
  <c r="G298" i="2"/>
  <c r="J298" i="2"/>
  <c r="F298" i="2"/>
  <c r="I298" i="2"/>
  <c r="S298" i="2"/>
  <c r="M298" i="2"/>
  <c r="L298" i="2"/>
  <c r="K298" i="2"/>
  <c r="R298" i="2"/>
  <c r="T298" i="2"/>
  <c r="AO298" i="2"/>
  <c r="AX298" i="2"/>
  <c r="AW297" i="2"/>
  <c r="AZ297" i="2"/>
  <c r="AY298" i="2"/>
  <c r="BA298" i="2"/>
  <c r="AK299" i="2"/>
  <c r="AH299" i="2"/>
  <c r="Y299" i="2"/>
  <c r="Z299" i="2"/>
  <c r="AA299" i="2"/>
  <c r="AB299" i="2"/>
  <c r="X299" i="2"/>
  <c r="W299" i="2"/>
  <c r="AL299" i="2"/>
  <c r="AD299" i="2"/>
  <c r="AC299" i="2"/>
  <c r="AE299" i="2"/>
  <c r="AM299" i="2"/>
  <c r="AN299" i="2"/>
  <c r="P299" i="2"/>
  <c r="Q299" i="2"/>
  <c r="G299" i="2"/>
  <c r="J299" i="2"/>
  <c r="F299" i="2"/>
  <c r="I299" i="2"/>
  <c r="S299" i="2"/>
  <c r="M299" i="2"/>
  <c r="L299" i="2"/>
  <c r="K299" i="2"/>
  <c r="R299" i="2"/>
  <c r="T299" i="2"/>
  <c r="AO299" i="2"/>
  <c r="AX299" i="2"/>
  <c r="AW298" i="2"/>
  <c r="AZ298" i="2"/>
  <c r="AY299" i="2"/>
  <c r="BA299" i="2"/>
  <c r="AK300" i="2"/>
  <c r="AH300" i="2"/>
  <c r="Y300" i="2"/>
  <c r="Z300" i="2"/>
  <c r="AA300" i="2"/>
  <c r="AB300" i="2"/>
  <c r="X300" i="2"/>
  <c r="W300" i="2"/>
  <c r="AL300" i="2"/>
  <c r="AD300" i="2"/>
  <c r="AC300" i="2"/>
  <c r="AE300" i="2"/>
  <c r="AM300" i="2"/>
  <c r="AN300" i="2"/>
  <c r="P300" i="2"/>
  <c r="Q300" i="2"/>
  <c r="G300" i="2"/>
  <c r="J300" i="2"/>
  <c r="F300" i="2"/>
  <c r="I300" i="2"/>
  <c r="S300" i="2"/>
  <c r="M300" i="2"/>
  <c r="L300" i="2"/>
  <c r="K300" i="2"/>
  <c r="R300" i="2"/>
  <c r="T300" i="2"/>
  <c r="AO300" i="2"/>
  <c r="AX300" i="2"/>
  <c r="AW299" i="2"/>
  <c r="AZ299" i="2"/>
  <c r="AY300" i="2"/>
  <c r="BA300" i="2"/>
  <c r="AK301" i="2"/>
  <c r="AH301" i="2"/>
  <c r="Y301" i="2"/>
  <c r="Z301" i="2"/>
  <c r="AA301" i="2"/>
  <c r="AB301" i="2"/>
  <c r="X301" i="2"/>
  <c r="W301" i="2"/>
  <c r="AL301" i="2"/>
  <c r="AD301" i="2"/>
  <c r="AC301" i="2"/>
  <c r="AE301" i="2"/>
  <c r="AM301" i="2"/>
  <c r="AN301" i="2"/>
  <c r="P301" i="2"/>
  <c r="Q301" i="2"/>
  <c r="G301" i="2"/>
  <c r="J301" i="2"/>
  <c r="F301" i="2"/>
  <c r="I301" i="2"/>
  <c r="S301" i="2"/>
  <c r="M301" i="2"/>
  <c r="L301" i="2"/>
  <c r="K301" i="2"/>
  <c r="R301" i="2"/>
  <c r="T301" i="2"/>
  <c r="AO301" i="2"/>
  <c r="AX301" i="2"/>
  <c r="AW300" i="2"/>
  <c r="AZ300" i="2"/>
  <c r="AY301" i="2"/>
  <c r="BA301" i="2"/>
  <c r="AK302" i="2"/>
  <c r="AH302" i="2"/>
  <c r="Y302" i="2"/>
  <c r="Z302" i="2"/>
  <c r="AA302" i="2"/>
  <c r="AB302" i="2"/>
  <c r="X302" i="2"/>
  <c r="W302" i="2"/>
  <c r="AL302" i="2"/>
  <c r="AD302" i="2"/>
  <c r="AC302" i="2"/>
  <c r="AE302" i="2"/>
  <c r="AM302" i="2"/>
  <c r="AN302" i="2"/>
  <c r="P302" i="2"/>
  <c r="Q302" i="2"/>
  <c r="G302" i="2"/>
  <c r="J302" i="2"/>
  <c r="F302" i="2"/>
  <c r="I302" i="2"/>
  <c r="S302" i="2"/>
  <c r="M302" i="2"/>
  <c r="L302" i="2"/>
  <c r="K302" i="2"/>
  <c r="R302" i="2"/>
  <c r="T302" i="2"/>
  <c r="AO302" i="2"/>
  <c r="AX302" i="2"/>
  <c r="AW301" i="2"/>
  <c r="AZ301" i="2"/>
  <c r="AY302" i="2"/>
  <c r="BA302" i="2"/>
  <c r="AK303" i="2"/>
  <c r="AH303" i="2"/>
  <c r="Y303" i="2"/>
  <c r="Z303" i="2"/>
  <c r="AA303" i="2"/>
  <c r="AB303" i="2"/>
  <c r="X303" i="2"/>
  <c r="W303" i="2"/>
  <c r="AL303" i="2"/>
  <c r="AD303" i="2"/>
  <c r="AC303" i="2"/>
  <c r="AE303" i="2"/>
  <c r="AM303" i="2"/>
  <c r="AN303" i="2"/>
  <c r="P303" i="2"/>
  <c r="Q303" i="2"/>
  <c r="G303" i="2"/>
  <c r="J303" i="2"/>
  <c r="F303" i="2"/>
  <c r="I303" i="2"/>
  <c r="S303" i="2"/>
  <c r="M303" i="2"/>
  <c r="L303" i="2"/>
  <c r="K303" i="2"/>
  <c r="R303" i="2"/>
  <c r="T303" i="2"/>
  <c r="AO303" i="2"/>
  <c r="AX303" i="2"/>
  <c r="AW302" i="2"/>
  <c r="AZ302" i="2"/>
  <c r="AY303" i="2"/>
  <c r="BA303" i="2"/>
  <c r="AK304" i="2"/>
  <c r="AH304" i="2"/>
  <c r="Y304" i="2"/>
  <c r="Z304" i="2"/>
  <c r="AA304" i="2"/>
  <c r="AB304" i="2"/>
  <c r="X304" i="2"/>
  <c r="W304" i="2"/>
  <c r="AL304" i="2"/>
  <c r="AD304" i="2"/>
  <c r="AC304" i="2"/>
  <c r="AE304" i="2"/>
  <c r="AM304" i="2"/>
  <c r="AN304" i="2"/>
  <c r="P304" i="2"/>
  <c r="Q304" i="2"/>
  <c r="G304" i="2"/>
  <c r="J304" i="2"/>
  <c r="F304" i="2"/>
  <c r="I304" i="2"/>
  <c r="S304" i="2"/>
  <c r="M304" i="2"/>
  <c r="L304" i="2"/>
  <c r="K304" i="2"/>
  <c r="R304" i="2"/>
  <c r="T304" i="2"/>
  <c r="AO304" i="2"/>
  <c r="AX304" i="2"/>
  <c r="AW303" i="2"/>
  <c r="AZ303" i="2"/>
  <c r="AY304" i="2"/>
  <c r="BA304" i="2"/>
  <c r="AK305" i="2"/>
  <c r="AH305" i="2"/>
  <c r="Y305" i="2"/>
  <c r="Z305" i="2"/>
  <c r="AA305" i="2"/>
  <c r="AB305" i="2"/>
  <c r="X305" i="2"/>
  <c r="W305" i="2"/>
  <c r="AL305" i="2"/>
  <c r="AD305" i="2"/>
  <c r="AC305" i="2"/>
  <c r="AE305" i="2"/>
  <c r="AM305" i="2"/>
  <c r="AN305" i="2"/>
  <c r="P305" i="2"/>
  <c r="Q305" i="2"/>
  <c r="G305" i="2"/>
  <c r="J305" i="2"/>
  <c r="F305" i="2"/>
  <c r="I305" i="2"/>
  <c r="S305" i="2"/>
  <c r="M305" i="2"/>
  <c r="L305" i="2"/>
  <c r="K305" i="2"/>
  <c r="R305" i="2"/>
  <c r="T305" i="2"/>
  <c r="AO305" i="2"/>
  <c r="AX305" i="2"/>
  <c r="AW304" i="2"/>
  <c r="AZ304" i="2"/>
  <c r="AY305" i="2"/>
  <c r="BA305" i="2"/>
  <c r="AK306" i="2"/>
  <c r="AH306" i="2"/>
  <c r="Y306" i="2"/>
  <c r="Z306" i="2"/>
  <c r="AA306" i="2"/>
  <c r="AB306" i="2"/>
  <c r="X306" i="2"/>
  <c r="W306" i="2"/>
  <c r="AL306" i="2"/>
  <c r="AD306" i="2"/>
  <c r="AC306" i="2"/>
  <c r="AE306" i="2"/>
  <c r="AM306" i="2"/>
  <c r="AN306" i="2"/>
  <c r="P306" i="2"/>
  <c r="Q306" i="2"/>
  <c r="G306" i="2"/>
  <c r="J306" i="2"/>
  <c r="F306" i="2"/>
  <c r="I306" i="2"/>
  <c r="S306" i="2"/>
  <c r="M306" i="2"/>
  <c r="L306" i="2"/>
  <c r="K306" i="2"/>
  <c r="R306" i="2"/>
  <c r="T306" i="2"/>
  <c r="AO306" i="2"/>
  <c r="AX306" i="2"/>
  <c r="AW305" i="2"/>
  <c r="AZ305" i="2"/>
  <c r="AY306" i="2"/>
  <c r="BA306" i="2"/>
  <c r="AK307" i="2"/>
  <c r="AH307" i="2"/>
  <c r="Y307" i="2"/>
  <c r="Z307" i="2"/>
  <c r="AA307" i="2"/>
  <c r="AB307" i="2"/>
  <c r="X307" i="2"/>
  <c r="W307" i="2"/>
  <c r="AL307" i="2"/>
  <c r="AD307" i="2"/>
  <c r="AC307" i="2"/>
  <c r="AE307" i="2"/>
  <c r="AM307" i="2"/>
  <c r="AN307" i="2"/>
  <c r="P307" i="2"/>
  <c r="Q307" i="2"/>
  <c r="G307" i="2"/>
  <c r="J307" i="2"/>
  <c r="F307" i="2"/>
  <c r="I307" i="2"/>
  <c r="S307" i="2"/>
  <c r="M307" i="2"/>
  <c r="L307" i="2"/>
  <c r="K307" i="2"/>
  <c r="R307" i="2"/>
  <c r="T307" i="2"/>
  <c r="AO307" i="2"/>
  <c r="AX307" i="2"/>
  <c r="AW306" i="2"/>
  <c r="AZ306" i="2"/>
  <c r="AY307" i="2"/>
  <c r="BA307" i="2"/>
  <c r="AK308" i="2"/>
  <c r="AH308" i="2"/>
  <c r="Y308" i="2"/>
  <c r="Z308" i="2"/>
  <c r="AA308" i="2"/>
  <c r="AB308" i="2"/>
  <c r="X308" i="2"/>
  <c r="W308" i="2"/>
  <c r="AL308" i="2"/>
  <c r="AD308" i="2"/>
  <c r="AC308" i="2"/>
  <c r="AE308" i="2"/>
  <c r="AM308" i="2"/>
  <c r="AN308" i="2"/>
  <c r="P308" i="2"/>
  <c r="Q308" i="2"/>
  <c r="G308" i="2"/>
  <c r="J308" i="2"/>
  <c r="F308" i="2"/>
  <c r="I308" i="2"/>
  <c r="S308" i="2"/>
  <c r="M308" i="2"/>
  <c r="L308" i="2"/>
  <c r="K308" i="2"/>
  <c r="R308" i="2"/>
  <c r="T308" i="2"/>
  <c r="AO308" i="2"/>
  <c r="AX308" i="2"/>
  <c r="AW307" i="2"/>
  <c r="AZ307" i="2"/>
  <c r="AY308" i="2"/>
  <c r="BA308" i="2"/>
  <c r="AK309" i="2"/>
  <c r="AH309" i="2"/>
  <c r="Y309" i="2"/>
  <c r="Z309" i="2"/>
  <c r="AA309" i="2"/>
  <c r="AB309" i="2"/>
  <c r="X309" i="2"/>
  <c r="W309" i="2"/>
  <c r="AL309" i="2"/>
  <c r="AD309" i="2"/>
  <c r="AC309" i="2"/>
  <c r="AE309" i="2"/>
  <c r="AM309" i="2"/>
  <c r="AN309" i="2"/>
  <c r="P309" i="2"/>
  <c r="Q309" i="2"/>
  <c r="G309" i="2"/>
  <c r="J309" i="2"/>
  <c r="F309" i="2"/>
  <c r="I309" i="2"/>
  <c r="S309" i="2"/>
  <c r="M309" i="2"/>
  <c r="L309" i="2"/>
  <c r="K309" i="2"/>
  <c r="R309" i="2"/>
  <c r="T309" i="2"/>
  <c r="AO309" i="2"/>
  <c r="AX309" i="2"/>
  <c r="AW308" i="2"/>
  <c r="AZ308" i="2"/>
  <c r="AY309" i="2"/>
  <c r="BA309" i="2"/>
  <c r="AK310" i="2"/>
  <c r="AH310" i="2"/>
  <c r="Y310" i="2"/>
  <c r="Z310" i="2"/>
  <c r="AA310" i="2"/>
  <c r="AB310" i="2"/>
  <c r="X310" i="2"/>
  <c r="W310" i="2"/>
  <c r="AL310" i="2"/>
  <c r="AD310" i="2"/>
  <c r="AC310" i="2"/>
  <c r="AE310" i="2"/>
  <c r="AM310" i="2"/>
  <c r="AN310" i="2"/>
  <c r="P310" i="2"/>
  <c r="Q310" i="2"/>
  <c r="G310" i="2"/>
  <c r="J310" i="2"/>
  <c r="F310" i="2"/>
  <c r="I310" i="2"/>
  <c r="S310" i="2"/>
  <c r="M310" i="2"/>
  <c r="L310" i="2"/>
  <c r="K310" i="2"/>
  <c r="R310" i="2"/>
  <c r="T310" i="2"/>
  <c r="AO310" i="2"/>
  <c r="AX310" i="2"/>
  <c r="AW309" i="2"/>
  <c r="AZ309" i="2"/>
  <c r="AY310" i="2"/>
  <c r="BA310" i="2"/>
  <c r="AK311" i="2"/>
  <c r="AH311" i="2"/>
  <c r="Y311" i="2"/>
  <c r="Z311" i="2"/>
  <c r="AA311" i="2"/>
  <c r="AB311" i="2"/>
  <c r="X311" i="2"/>
  <c r="W311" i="2"/>
  <c r="AL311" i="2"/>
  <c r="AD311" i="2"/>
  <c r="AC311" i="2"/>
  <c r="AE311" i="2"/>
  <c r="AM311" i="2"/>
  <c r="AN311" i="2"/>
  <c r="P311" i="2"/>
  <c r="Q311" i="2"/>
  <c r="G311" i="2"/>
  <c r="J311" i="2"/>
  <c r="F311" i="2"/>
  <c r="I311" i="2"/>
  <c r="S311" i="2"/>
  <c r="M311" i="2"/>
  <c r="L311" i="2"/>
  <c r="K311" i="2"/>
  <c r="R311" i="2"/>
  <c r="T311" i="2"/>
  <c r="AO311" i="2"/>
  <c r="AX311" i="2"/>
  <c r="AW310" i="2"/>
  <c r="AZ310" i="2"/>
  <c r="AY311" i="2"/>
  <c r="BA311" i="2"/>
  <c r="AK312" i="2"/>
  <c r="AH312" i="2"/>
  <c r="Y312" i="2"/>
  <c r="Z312" i="2"/>
  <c r="AA312" i="2"/>
  <c r="AB312" i="2"/>
  <c r="X312" i="2"/>
  <c r="W312" i="2"/>
  <c r="AL312" i="2"/>
  <c r="AD312" i="2"/>
  <c r="AC312" i="2"/>
  <c r="AE312" i="2"/>
  <c r="AM312" i="2"/>
  <c r="AN312" i="2"/>
  <c r="P312" i="2"/>
  <c r="Q312" i="2"/>
  <c r="G312" i="2"/>
  <c r="J312" i="2"/>
  <c r="F312" i="2"/>
  <c r="I312" i="2"/>
  <c r="S312" i="2"/>
  <c r="M312" i="2"/>
  <c r="L312" i="2"/>
  <c r="K312" i="2"/>
  <c r="R312" i="2"/>
  <c r="T312" i="2"/>
  <c r="AO312" i="2"/>
  <c r="AX312" i="2"/>
  <c r="AW311" i="2"/>
  <c r="AZ311" i="2"/>
  <c r="AY312" i="2"/>
  <c r="BA312" i="2"/>
  <c r="AK313" i="2"/>
  <c r="AH313" i="2"/>
  <c r="Y313" i="2"/>
  <c r="Z313" i="2"/>
  <c r="AA313" i="2"/>
  <c r="AB313" i="2"/>
  <c r="X313" i="2"/>
  <c r="W313" i="2"/>
  <c r="AL313" i="2"/>
  <c r="AD313" i="2"/>
  <c r="AC313" i="2"/>
  <c r="AE313" i="2"/>
  <c r="AM313" i="2"/>
  <c r="AN313" i="2"/>
  <c r="P313" i="2"/>
  <c r="Q313" i="2"/>
  <c r="G313" i="2"/>
  <c r="J313" i="2"/>
  <c r="F313" i="2"/>
  <c r="I313" i="2"/>
  <c r="S313" i="2"/>
  <c r="M313" i="2"/>
  <c r="L313" i="2"/>
  <c r="K313" i="2"/>
  <c r="R313" i="2"/>
  <c r="T313" i="2"/>
  <c r="AO313" i="2"/>
  <c r="AX313" i="2"/>
  <c r="AW312" i="2"/>
  <c r="AZ312" i="2"/>
  <c r="AY313" i="2"/>
  <c r="BA313" i="2"/>
  <c r="AK314" i="2"/>
  <c r="AH314" i="2"/>
  <c r="Y314" i="2"/>
  <c r="Z314" i="2"/>
  <c r="AA314" i="2"/>
  <c r="AB314" i="2"/>
  <c r="X314" i="2"/>
  <c r="W314" i="2"/>
  <c r="AL314" i="2"/>
  <c r="AD314" i="2"/>
  <c r="AC314" i="2"/>
  <c r="AE314" i="2"/>
  <c r="AM314" i="2"/>
  <c r="AN314" i="2"/>
  <c r="P314" i="2"/>
  <c r="Q314" i="2"/>
  <c r="G314" i="2"/>
  <c r="J314" i="2"/>
  <c r="F314" i="2"/>
  <c r="I314" i="2"/>
  <c r="S314" i="2"/>
  <c r="M314" i="2"/>
  <c r="L314" i="2"/>
  <c r="K314" i="2"/>
  <c r="R314" i="2"/>
  <c r="T314" i="2"/>
  <c r="AO314" i="2"/>
  <c r="AX314" i="2"/>
  <c r="AW313" i="2"/>
  <c r="AZ313" i="2"/>
  <c r="AY314" i="2"/>
  <c r="BA314" i="2"/>
  <c r="AK315" i="2"/>
  <c r="AH315" i="2"/>
  <c r="Y315" i="2"/>
  <c r="Z315" i="2"/>
  <c r="AA315" i="2"/>
  <c r="AB315" i="2"/>
  <c r="X315" i="2"/>
  <c r="W315" i="2"/>
  <c r="AL315" i="2"/>
  <c r="AD315" i="2"/>
  <c r="AC315" i="2"/>
  <c r="AE315" i="2"/>
  <c r="AM315" i="2"/>
  <c r="AN315" i="2"/>
  <c r="P315" i="2"/>
  <c r="Q315" i="2"/>
  <c r="G315" i="2"/>
  <c r="J315" i="2"/>
  <c r="F315" i="2"/>
  <c r="I315" i="2"/>
  <c r="S315" i="2"/>
  <c r="M315" i="2"/>
  <c r="L315" i="2"/>
  <c r="K315" i="2"/>
  <c r="R315" i="2"/>
  <c r="T315" i="2"/>
  <c r="AO315" i="2"/>
  <c r="AX315" i="2"/>
  <c r="AW314" i="2"/>
  <c r="AZ314" i="2"/>
  <c r="AY315" i="2"/>
  <c r="BA315" i="2"/>
  <c r="AK316" i="2"/>
  <c r="AH316" i="2"/>
  <c r="Y316" i="2"/>
  <c r="Z316" i="2"/>
  <c r="AA316" i="2"/>
  <c r="AB316" i="2"/>
  <c r="X316" i="2"/>
  <c r="W316" i="2"/>
  <c r="AL316" i="2"/>
  <c r="AD316" i="2"/>
  <c r="AC316" i="2"/>
  <c r="AE316" i="2"/>
  <c r="AM316" i="2"/>
  <c r="AN316" i="2"/>
  <c r="P316" i="2"/>
  <c r="Q316" i="2"/>
  <c r="G316" i="2"/>
  <c r="J316" i="2"/>
  <c r="F316" i="2"/>
  <c r="I316" i="2"/>
  <c r="S316" i="2"/>
  <c r="M316" i="2"/>
  <c r="L316" i="2"/>
  <c r="K316" i="2"/>
  <c r="R316" i="2"/>
  <c r="T316" i="2"/>
  <c r="AO316" i="2"/>
  <c r="AX316" i="2"/>
  <c r="AW315" i="2"/>
  <c r="AZ315" i="2"/>
  <c r="AY316" i="2"/>
  <c r="BA316" i="2"/>
  <c r="AK317" i="2"/>
  <c r="AH317" i="2"/>
  <c r="Y317" i="2"/>
  <c r="Z317" i="2"/>
  <c r="AA317" i="2"/>
  <c r="AB317" i="2"/>
  <c r="X317" i="2"/>
  <c r="W317" i="2"/>
  <c r="AL317" i="2"/>
  <c r="AD317" i="2"/>
  <c r="AC317" i="2"/>
  <c r="AE317" i="2"/>
  <c r="AM317" i="2"/>
  <c r="AN317" i="2"/>
  <c r="P317" i="2"/>
  <c r="Q317" i="2"/>
  <c r="G317" i="2"/>
  <c r="J317" i="2"/>
  <c r="F317" i="2"/>
  <c r="I317" i="2"/>
  <c r="S317" i="2"/>
  <c r="M317" i="2"/>
  <c r="L317" i="2"/>
  <c r="K317" i="2"/>
  <c r="R317" i="2"/>
  <c r="T317" i="2"/>
  <c r="AO317" i="2"/>
  <c r="AX317" i="2"/>
  <c r="AW316" i="2"/>
  <c r="AZ316" i="2"/>
  <c r="AY317" i="2"/>
  <c r="BA317" i="2"/>
  <c r="AK318" i="2"/>
  <c r="AH318" i="2"/>
  <c r="Y318" i="2"/>
  <c r="Z318" i="2"/>
  <c r="AA318" i="2"/>
  <c r="AB318" i="2"/>
  <c r="X318" i="2"/>
  <c r="W318" i="2"/>
  <c r="AL318" i="2"/>
  <c r="AD318" i="2"/>
  <c r="AC318" i="2"/>
  <c r="AE318" i="2"/>
  <c r="AM318" i="2"/>
  <c r="AN318" i="2"/>
  <c r="P318" i="2"/>
  <c r="Q318" i="2"/>
  <c r="G318" i="2"/>
  <c r="J318" i="2"/>
  <c r="F318" i="2"/>
  <c r="I318" i="2"/>
  <c r="S318" i="2"/>
  <c r="M318" i="2"/>
  <c r="L318" i="2"/>
  <c r="K318" i="2"/>
  <c r="R318" i="2"/>
  <c r="T318" i="2"/>
  <c r="AO318" i="2"/>
  <c r="AX318" i="2"/>
  <c r="AW317" i="2"/>
  <c r="AZ317" i="2"/>
  <c r="AY318" i="2"/>
  <c r="BA318" i="2"/>
  <c r="AK319" i="2"/>
  <c r="AH319" i="2"/>
  <c r="Y319" i="2"/>
  <c r="Z319" i="2"/>
  <c r="AA319" i="2"/>
  <c r="AB319" i="2"/>
  <c r="X319" i="2"/>
  <c r="W319" i="2"/>
  <c r="AL319" i="2"/>
  <c r="AD319" i="2"/>
  <c r="AC319" i="2"/>
  <c r="AE319" i="2"/>
  <c r="AM319" i="2"/>
  <c r="AN319" i="2"/>
  <c r="P319" i="2"/>
  <c r="Q319" i="2"/>
  <c r="G319" i="2"/>
  <c r="J319" i="2"/>
  <c r="F319" i="2"/>
  <c r="I319" i="2"/>
  <c r="S319" i="2"/>
  <c r="M319" i="2"/>
  <c r="L319" i="2"/>
  <c r="K319" i="2"/>
  <c r="R319" i="2"/>
  <c r="T319" i="2"/>
  <c r="AO319" i="2"/>
  <c r="AX319" i="2"/>
  <c r="AW318" i="2"/>
  <c r="AZ318" i="2"/>
  <c r="AY319" i="2"/>
  <c r="BA319" i="2"/>
  <c r="AK320" i="2"/>
  <c r="AH320" i="2"/>
  <c r="Y320" i="2"/>
  <c r="Z320" i="2"/>
  <c r="AA320" i="2"/>
  <c r="AB320" i="2"/>
  <c r="X320" i="2"/>
  <c r="W320" i="2"/>
  <c r="AL320" i="2"/>
  <c r="AD320" i="2"/>
  <c r="AC320" i="2"/>
  <c r="AE320" i="2"/>
  <c r="AM320" i="2"/>
  <c r="AN320" i="2"/>
  <c r="P320" i="2"/>
  <c r="Q320" i="2"/>
  <c r="G320" i="2"/>
  <c r="J320" i="2"/>
  <c r="F320" i="2"/>
  <c r="I320" i="2"/>
  <c r="S320" i="2"/>
  <c r="M320" i="2"/>
  <c r="L320" i="2"/>
  <c r="K320" i="2"/>
  <c r="R320" i="2"/>
  <c r="T320" i="2"/>
  <c r="AO320" i="2"/>
  <c r="AX320" i="2"/>
  <c r="AW319" i="2"/>
  <c r="AZ319" i="2"/>
  <c r="AY320" i="2"/>
  <c r="BA320" i="2"/>
  <c r="AK321" i="2"/>
  <c r="AH321" i="2"/>
  <c r="Y321" i="2"/>
  <c r="Z321" i="2"/>
  <c r="AA321" i="2"/>
  <c r="AB321" i="2"/>
  <c r="X321" i="2"/>
  <c r="W321" i="2"/>
  <c r="AL321" i="2"/>
  <c r="AD321" i="2"/>
  <c r="AC321" i="2"/>
  <c r="AE321" i="2"/>
  <c r="AM321" i="2"/>
  <c r="AN321" i="2"/>
  <c r="P321" i="2"/>
  <c r="Q321" i="2"/>
  <c r="G321" i="2"/>
  <c r="J321" i="2"/>
  <c r="F321" i="2"/>
  <c r="I321" i="2"/>
  <c r="S321" i="2"/>
  <c r="M321" i="2"/>
  <c r="L321" i="2"/>
  <c r="K321" i="2"/>
  <c r="R321" i="2"/>
  <c r="T321" i="2"/>
  <c r="AO321" i="2"/>
  <c r="AX321" i="2"/>
  <c r="AW320" i="2"/>
  <c r="AZ320" i="2"/>
  <c r="AY321" i="2"/>
  <c r="BA321" i="2"/>
  <c r="AK322" i="2"/>
  <c r="AH322" i="2"/>
  <c r="Y322" i="2"/>
  <c r="Z322" i="2"/>
  <c r="AA322" i="2"/>
  <c r="AB322" i="2"/>
  <c r="X322" i="2"/>
  <c r="W322" i="2"/>
  <c r="AL322" i="2"/>
  <c r="AD322" i="2"/>
  <c r="AC322" i="2"/>
  <c r="AE322" i="2"/>
  <c r="AM322" i="2"/>
  <c r="AN322" i="2"/>
  <c r="P322" i="2"/>
  <c r="Q322" i="2"/>
  <c r="G322" i="2"/>
  <c r="J322" i="2"/>
  <c r="F322" i="2"/>
  <c r="I322" i="2"/>
  <c r="S322" i="2"/>
  <c r="M322" i="2"/>
  <c r="L322" i="2"/>
  <c r="K322" i="2"/>
  <c r="R322" i="2"/>
  <c r="T322" i="2"/>
  <c r="AO322" i="2"/>
  <c r="AX322" i="2"/>
  <c r="AW321" i="2"/>
  <c r="AZ321" i="2"/>
  <c r="AY322" i="2"/>
  <c r="BA322" i="2"/>
  <c r="AK323" i="2"/>
  <c r="AH323" i="2"/>
  <c r="Y323" i="2"/>
  <c r="Z323" i="2"/>
  <c r="AA323" i="2"/>
  <c r="AB323" i="2"/>
  <c r="X323" i="2"/>
  <c r="W323" i="2"/>
  <c r="AL323" i="2"/>
  <c r="AD323" i="2"/>
  <c r="AC323" i="2"/>
  <c r="AE323" i="2"/>
  <c r="AM323" i="2"/>
  <c r="AN323" i="2"/>
  <c r="P323" i="2"/>
  <c r="Q323" i="2"/>
  <c r="G323" i="2"/>
  <c r="J323" i="2"/>
  <c r="F323" i="2"/>
  <c r="I323" i="2"/>
  <c r="S323" i="2"/>
  <c r="M323" i="2"/>
  <c r="L323" i="2"/>
  <c r="K323" i="2"/>
  <c r="R323" i="2"/>
  <c r="T323" i="2"/>
  <c r="AO323" i="2"/>
  <c r="AX323" i="2"/>
  <c r="AW322" i="2"/>
  <c r="AZ322" i="2"/>
  <c r="AY323" i="2"/>
  <c r="BA323" i="2"/>
  <c r="AK324" i="2"/>
  <c r="AH324" i="2"/>
  <c r="Y324" i="2"/>
  <c r="Z324" i="2"/>
  <c r="AA324" i="2"/>
  <c r="AB324" i="2"/>
  <c r="X324" i="2"/>
  <c r="W324" i="2"/>
  <c r="AL324" i="2"/>
  <c r="AD324" i="2"/>
  <c r="AC324" i="2"/>
  <c r="AE324" i="2"/>
  <c r="AM324" i="2"/>
  <c r="AN324" i="2"/>
  <c r="P324" i="2"/>
  <c r="Q324" i="2"/>
  <c r="G324" i="2"/>
  <c r="J324" i="2"/>
  <c r="F324" i="2"/>
  <c r="I324" i="2"/>
  <c r="S324" i="2"/>
  <c r="M324" i="2"/>
  <c r="L324" i="2"/>
  <c r="K324" i="2"/>
  <c r="R324" i="2"/>
  <c r="T324" i="2"/>
  <c r="AO324" i="2"/>
  <c r="AX324" i="2"/>
  <c r="AW323" i="2"/>
  <c r="AZ323" i="2"/>
  <c r="AY324" i="2"/>
  <c r="BA324" i="2"/>
  <c r="AK325" i="2"/>
  <c r="AH325" i="2"/>
  <c r="Y325" i="2"/>
  <c r="Z325" i="2"/>
  <c r="AA325" i="2"/>
  <c r="AB325" i="2"/>
  <c r="X325" i="2"/>
  <c r="W325" i="2"/>
  <c r="AL325" i="2"/>
  <c r="AD325" i="2"/>
  <c r="AC325" i="2"/>
  <c r="AE325" i="2"/>
  <c r="AM325" i="2"/>
  <c r="AN325" i="2"/>
  <c r="P325" i="2"/>
  <c r="Q325" i="2"/>
  <c r="G325" i="2"/>
  <c r="J325" i="2"/>
  <c r="F325" i="2"/>
  <c r="I325" i="2"/>
  <c r="S325" i="2"/>
  <c r="M325" i="2"/>
  <c r="L325" i="2"/>
  <c r="K325" i="2"/>
  <c r="R325" i="2"/>
  <c r="T325" i="2"/>
  <c r="AO325" i="2"/>
  <c r="AX325" i="2"/>
  <c r="AW324" i="2"/>
  <c r="AZ324" i="2"/>
  <c r="AY325" i="2"/>
  <c r="BA325" i="2"/>
  <c r="AK326" i="2"/>
  <c r="AH326" i="2"/>
  <c r="Y326" i="2"/>
  <c r="Z326" i="2"/>
  <c r="AA326" i="2"/>
  <c r="AB326" i="2"/>
  <c r="X326" i="2"/>
  <c r="W326" i="2"/>
  <c r="AL326" i="2"/>
  <c r="AD326" i="2"/>
  <c r="AC326" i="2"/>
  <c r="AE326" i="2"/>
  <c r="AM326" i="2"/>
  <c r="AN326" i="2"/>
  <c r="P326" i="2"/>
  <c r="Q326" i="2"/>
  <c r="G326" i="2"/>
  <c r="J326" i="2"/>
  <c r="F326" i="2"/>
  <c r="I326" i="2"/>
  <c r="S326" i="2"/>
  <c r="M326" i="2"/>
  <c r="L326" i="2"/>
  <c r="K326" i="2"/>
  <c r="R326" i="2"/>
  <c r="T326" i="2"/>
  <c r="AO326" i="2"/>
  <c r="AX326" i="2"/>
  <c r="AW325" i="2"/>
  <c r="AZ325" i="2"/>
  <c r="AY326" i="2"/>
  <c r="BA326" i="2"/>
  <c r="AK327" i="2"/>
  <c r="AH327" i="2"/>
  <c r="Y327" i="2"/>
  <c r="Z327" i="2"/>
  <c r="AA327" i="2"/>
  <c r="AB327" i="2"/>
  <c r="X327" i="2"/>
  <c r="W327" i="2"/>
  <c r="AL327" i="2"/>
  <c r="AD327" i="2"/>
  <c r="AC327" i="2"/>
  <c r="AE327" i="2"/>
  <c r="AM327" i="2"/>
  <c r="AN327" i="2"/>
  <c r="P327" i="2"/>
  <c r="Q327" i="2"/>
  <c r="G327" i="2"/>
  <c r="J327" i="2"/>
  <c r="F327" i="2"/>
  <c r="I327" i="2"/>
  <c r="S327" i="2"/>
  <c r="M327" i="2"/>
  <c r="L327" i="2"/>
  <c r="K327" i="2"/>
  <c r="R327" i="2"/>
  <c r="T327" i="2"/>
  <c r="AO327" i="2"/>
  <c r="AX327" i="2"/>
  <c r="AW326" i="2"/>
  <c r="AZ326" i="2"/>
  <c r="AY327" i="2"/>
  <c r="BA327" i="2"/>
  <c r="AK328" i="2"/>
  <c r="AH328" i="2"/>
  <c r="Y328" i="2"/>
  <c r="Z328" i="2"/>
  <c r="AA328" i="2"/>
  <c r="AB328" i="2"/>
  <c r="X328" i="2"/>
  <c r="W328" i="2"/>
  <c r="AL328" i="2"/>
  <c r="AD328" i="2"/>
  <c r="AC328" i="2"/>
  <c r="AE328" i="2"/>
  <c r="AM328" i="2"/>
  <c r="AN328" i="2"/>
  <c r="P328" i="2"/>
  <c r="Q328" i="2"/>
  <c r="G328" i="2"/>
  <c r="J328" i="2"/>
  <c r="F328" i="2"/>
  <c r="I328" i="2"/>
  <c r="S328" i="2"/>
  <c r="M328" i="2"/>
  <c r="L328" i="2"/>
  <c r="K328" i="2"/>
  <c r="R328" i="2"/>
  <c r="T328" i="2"/>
  <c r="AO328" i="2"/>
  <c r="AX328" i="2"/>
  <c r="AW327" i="2"/>
  <c r="AZ327" i="2"/>
  <c r="AY328" i="2"/>
  <c r="BA328" i="2"/>
  <c r="AK329" i="2"/>
  <c r="AH329" i="2"/>
  <c r="Y329" i="2"/>
  <c r="Z329" i="2"/>
  <c r="AA329" i="2"/>
  <c r="AB329" i="2"/>
  <c r="X329" i="2"/>
  <c r="W329" i="2"/>
  <c r="AL329" i="2"/>
  <c r="AD329" i="2"/>
  <c r="AC329" i="2"/>
  <c r="AE329" i="2"/>
  <c r="AM329" i="2"/>
  <c r="AN329" i="2"/>
  <c r="P329" i="2"/>
  <c r="Q329" i="2"/>
  <c r="G329" i="2"/>
  <c r="J329" i="2"/>
  <c r="F329" i="2"/>
  <c r="I329" i="2"/>
  <c r="S329" i="2"/>
  <c r="M329" i="2"/>
  <c r="L329" i="2"/>
  <c r="K329" i="2"/>
  <c r="R329" i="2"/>
  <c r="T329" i="2"/>
  <c r="AO329" i="2"/>
  <c r="AX329" i="2"/>
  <c r="AW328" i="2"/>
  <c r="AZ328" i="2"/>
  <c r="AY329" i="2"/>
  <c r="BA329" i="2"/>
  <c r="AK330" i="2"/>
  <c r="AH330" i="2"/>
  <c r="Y330" i="2"/>
  <c r="Z330" i="2"/>
  <c r="AA330" i="2"/>
  <c r="AB330" i="2"/>
  <c r="X330" i="2"/>
  <c r="W330" i="2"/>
  <c r="AL330" i="2"/>
  <c r="AD330" i="2"/>
  <c r="AC330" i="2"/>
  <c r="AE330" i="2"/>
  <c r="AM330" i="2"/>
  <c r="AN330" i="2"/>
  <c r="P330" i="2"/>
  <c r="Q330" i="2"/>
  <c r="G330" i="2"/>
  <c r="J330" i="2"/>
  <c r="F330" i="2"/>
  <c r="I330" i="2"/>
  <c r="S330" i="2"/>
  <c r="M330" i="2"/>
  <c r="L330" i="2"/>
  <c r="K330" i="2"/>
  <c r="R330" i="2"/>
  <c r="T330" i="2"/>
  <c r="AO330" i="2"/>
  <c r="AX330" i="2"/>
  <c r="AW329" i="2"/>
  <c r="AZ329" i="2"/>
  <c r="AY330" i="2"/>
  <c r="BA330" i="2"/>
  <c r="AK331" i="2"/>
  <c r="AH331" i="2"/>
  <c r="Y331" i="2"/>
  <c r="Z331" i="2"/>
  <c r="AA331" i="2"/>
  <c r="AB331" i="2"/>
  <c r="X331" i="2"/>
  <c r="W331" i="2"/>
  <c r="AL331" i="2"/>
  <c r="AD331" i="2"/>
  <c r="AC331" i="2"/>
  <c r="AE331" i="2"/>
  <c r="AM331" i="2"/>
  <c r="AN331" i="2"/>
  <c r="P331" i="2"/>
  <c r="Q331" i="2"/>
  <c r="G331" i="2"/>
  <c r="J331" i="2"/>
  <c r="F331" i="2"/>
  <c r="I331" i="2"/>
  <c r="S331" i="2"/>
  <c r="M331" i="2"/>
  <c r="L331" i="2"/>
  <c r="K331" i="2"/>
  <c r="R331" i="2"/>
  <c r="T331" i="2"/>
  <c r="AO331" i="2"/>
  <c r="AX331" i="2"/>
  <c r="AW330" i="2"/>
  <c r="AZ330" i="2"/>
  <c r="AY331" i="2"/>
  <c r="BA331" i="2"/>
  <c r="AK332" i="2"/>
  <c r="AH332" i="2"/>
  <c r="Y332" i="2"/>
  <c r="Z332" i="2"/>
  <c r="AA332" i="2"/>
  <c r="AB332" i="2"/>
  <c r="X332" i="2"/>
  <c r="W332" i="2"/>
  <c r="AL332" i="2"/>
  <c r="AD332" i="2"/>
  <c r="AC332" i="2"/>
  <c r="AE332" i="2"/>
  <c r="AM332" i="2"/>
  <c r="AN332" i="2"/>
  <c r="P332" i="2"/>
  <c r="Q332" i="2"/>
  <c r="G332" i="2"/>
  <c r="J332" i="2"/>
  <c r="F332" i="2"/>
  <c r="I332" i="2"/>
  <c r="S332" i="2"/>
  <c r="M332" i="2"/>
  <c r="L332" i="2"/>
  <c r="K332" i="2"/>
  <c r="R332" i="2"/>
  <c r="T332" i="2"/>
  <c r="AO332" i="2"/>
  <c r="AX332" i="2"/>
  <c r="AW331" i="2"/>
  <c r="AZ331" i="2"/>
  <c r="AY332" i="2"/>
  <c r="BA332" i="2"/>
  <c r="AK333" i="2"/>
  <c r="AH333" i="2"/>
  <c r="Y333" i="2"/>
  <c r="Z333" i="2"/>
  <c r="AA333" i="2"/>
  <c r="AB333" i="2"/>
  <c r="X333" i="2"/>
  <c r="W333" i="2"/>
  <c r="AL333" i="2"/>
  <c r="AD333" i="2"/>
  <c r="AC333" i="2"/>
  <c r="AE333" i="2"/>
  <c r="AM333" i="2"/>
  <c r="AN333" i="2"/>
  <c r="P333" i="2"/>
  <c r="Q333" i="2"/>
  <c r="G333" i="2"/>
  <c r="J333" i="2"/>
  <c r="F333" i="2"/>
  <c r="I333" i="2"/>
  <c r="S333" i="2"/>
  <c r="M333" i="2"/>
  <c r="L333" i="2"/>
  <c r="K333" i="2"/>
  <c r="R333" i="2"/>
  <c r="T333" i="2"/>
  <c r="AO333" i="2"/>
  <c r="AX333" i="2"/>
  <c r="AW332" i="2"/>
  <c r="AZ332" i="2"/>
  <c r="AY333" i="2"/>
  <c r="BA333" i="2"/>
  <c r="AK334" i="2"/>
  <c r="AH334" i="2"/>
  <c r="Y334" i="2"/>
  <c r="Z334" i="2"/>
  <c r="AA334" i="2"/>
  <c r="AB334" i="2"/>
  <c r="X334" i="2"/>
  <c r="W334" i="2"/>
  <c r="AL334" i="2"/>
  <c r="AD334" i="2"/>
  <c r="AC334" i="2"/>
  <c r="AE334" i="2"/>
  <c r="AM334" i="2"/>
  <c r="AN334" i="2"/>
  <c r="P334" i="2"/>
  <c r="Q334" i="2"/>
  <c r="G334" i="2"/>
  <c r="J334" i="2"/>
  <c r="F334" i="2"/>
  <c r="I334" i="2"/>
  <c r="S334" i="2"/>
  <c r="M334" i="2"/>
  <c r="L334" i="2"/>
  <c r="K334" i="2"/>
  <c r="R334" i="2"/>
  <c r="T334" i="2"/>
  <c r="AO334" i="2"/>
  <c r="AX334" i="2"/>
  <c r="AW333" i="2"/>
  <c r="AZ333" i="2"/>
  <c r="AY334" i="2"/>
  <c r="BA334" i="2"/>
  <c r="AK335" i="2"/>
  <c r="AH335" i="2"/>
  <c r="Y335" i="2"/>
  <c r="Z335" i="2"/>
  <c r="AA335" i="2"/>
  <c r="AB335" i="2"/>
  <c r="X335" i="2"/>
  <c r="W335" i="2"/>
  <c r="AL335" i="2"/>
  <c r="AD335" i="2"/>
  <c r="AC335" i="2"/>
  <c r="AE335" i="2"/>
  <c r="AM335" i="2"/>
  <c r="AN335" i="2"/>
  <c r="P335" i="2"/>
  <c r="Q335" i="2"/>
  <c r="G335" i="2"/>
  <c r="J335" i="2"/>
  <c r="F335" i="2"/>
  <c r="I335" i="2"/>
  <c r="S335" i="2"/>
  <c r="M335" i="2"/>
  <c r="L335" i="2"/>
  <c r="K335" i="2"/>
  <c r="R335" i="2"/>
  <c r="T335" i="2"/>
  <c r="AO335" i="2"/>
  <c r="AX335" i="2"/>
  <c r="AW334" i="2"/>
  <c r="AZ334" i="2"/>
  <c r="AY335" i="2"/>
  <c r="BA335" i="2"/>
  <c r="AK336" i="2"/>
  <c r="AH336" i="2"/>
  <c r="Y336" i="2"/>
  <c r="Z336" i="2"/>
  <c r="AA336" i="2"/>
  <c r="AB336" i="2"/>
  <c r="X336" i="2"/>
  <c r="W336" i="2"/>
  <c r="AL336" i="2"/>
  <c r="AD336" i="2"/>
  <c r="AC336" i="2"/>
  <c r="AE336" i="2"/>
  <c r="AM336" i="2"/>
  <c r="AN336" i="2"/>
  <c r="P336" i="2"/>
  <c r="Q336" i="2"/>
  <c r="G336" i="2"/>
  <c r="J336" i="2"/>
  <c r="F336" i="2"/>
  <c r="I336" i="2"/>
  <c r="S336" i="2"/>
  <c r="M336" i="2"/>
  <c r="L336" i="2"/>
  <c r="K336" i="2"/>
  <c r="R336" i="2"/>
  <c r="T336" i="2"/>
  <c r="AO336" i="2"/>
  <c r="AX336" i="2"/>
  <c r="AW335" i="2"/>
  <c r="AZ335" i="2"/>
  <c r="AY336" i="2"/>
  <c r="BA336" i="2"/>
  <c r="AK337" i="2"/>
  <c r="AH337" i="2"/>
  <c r="Y337" i="2"/>
  <c r="Z337" i="2"/>
  <c r="AA337" i="2"/>
  <c r="AB337" i="2"/>
  <c r="X337" i="2"/>
  <c r="W337" i="2"/>
  <c r="AL337" i="2"/>
  <c r="AD337" i="2"/>
  <c r="AC337" i="2"/>
  <c r="AE337" i="2"/>
  <c r="AM337" i="2"/>
  <c r="AN337" i="2"/>
  <c r="P337" i="2"/>
  <c r="Q337" i="2"/>
  <c r="G337" i="2"/>
  <c r="J337" i="2"/>
  <c r="F337" i="2"/>
  <c r="I337" i="2"/>
  <c r="S337" i="2"/>
  <c r="M337" i="2"/>
  <c r="L337" i="2"/>
  <c r="K337" i="2"/>
  <c r="R337" i="2"/>
  <c r="T337" i="2"/>
  <c r="AO337" i="2"/>
  <c r="AX337" i="2"/>
  <c r="AW336" i="2"/>
  <c r="AZ336" i="2"/>
  <c r="AY337" i="2"/>
  <c r="BA337" i="2"/>
  <c r="AK338" i="2"/>
  <c r="AH338" i="2"/>
  <c r="Y338" i="2"/>
  <c r="Z338" i="2"/>
  <c r="AA338" i="2"/>
  <c r="AB338" i="2"/>
  <c r="X338" i="2"/>
  <c r="W338" i="2"/>
  <c r="AL338" i="2"/>
  <c r="AD338" i="2"/>
  <c r="AC338" i="2"/>
  <c r="AE338" i="2"/>
  <c r="AM338" i="2"/>
  <c r="AN338" i="2"/>
  <c r="P338" i="2"/>
  <c r="Q338" i="2"/>
  <c r="G338" i="2"/>
  <c r="J338" i="2"/>
  <c r="F338" i="2"/>
  <c r="I338" i="2"/>
  <c r="S338" i="2"/>
  <c r="M338" i="2"/>
  <c r="L338" i="2"/>
  <c r="K338" i="2"/>
  <c r="R338" i="2"/>
  <c r="T338" i="2"/>
  <c r="AO338" i="2"/>
  <c r="AX338" i="2"/>
  <c r="AW337" i="2"/>
  <c r="AZ337" i="2"/>
  <c r="AY338" i="2"/>
  <c r="BA338" i="2"/>
  <c r="AK339" i="2"/>
  <c r="AH339" i="2"/>
  <c r="Y339" i="2"/>
  <c r="Z339" i="2"/>
  <c r="AA339" i="2"/>
  <c r="AB339" i="2"/>
  <c r="X339" i="2"/>
  <c r="W339" i="2"/>
  <c r="AL339" i="2"/>
  <c r="AD339" i="2"/>
  <c r="AC339" i="2"/>
  <c r="AE339" i="2"/>
  <c r="AM339" i="2"/>
  <c r="AN339" i="2"/>
  <c r="P339" i="2"/>
  <c r="Q339" i="2"/>
  <c r="G339" i="2"/>
  <c r="J339" i="2"/>
  <c r="F339" i="2"/>
  <c r="I339" i="2"/>
  <c r="S339" i="2"/>
  <c r="M339" i="2"/>
  <c r="L339" i="2"/>
  <c r="K339" i="2"/>
  <c r="R339" i="2"/>
  <c r="T339" i="2"/>
  <c r="AO339" i="2"/>
  <c r="AX339" i="2"/>
  <c r="AW338" i="2"/>
  <c r="AZ338" i="2"/>
  <c r="AY339" i="2"/>
  <c r="BA339" i="2"/>
  <c r="AK340" i="2"/>
  <c r="AH340" i="2"/>
  <c r="Y340" i="2"/>
  <c r="Z340" i="2"/>
  <c r="AA340" i="2"/>
  <c r="AB340" i="2"/>
  <c r="X340" i="2"/>
  <c r="W340" i="2"/>
  <c r="AL340" i="2"/>
  <c r="AD340" i="2"/>
  <c r="AC340" i="2"/>
  <c r="AE340" i="2"/>
  <c r="AM340" i="2"/>
  <c r="AN340" i="2"/>
  <c r="P340" i="2"/>
  <c r="Q340" i="2"/>
  <c r="G340" i="2"/>
  <c r="J340" i="2"/>
  <c r="F340" i="2"/>
  <c r="I340" i="2"/>
  <c r="S340" i="2"/>
  <c r="M340" i="2"/>
  <c r="L340" i="2"/>
  <c r="K340" i="2"/>
  <c r="R340" i="2"/>
  <c r="T340" i="2"/>
  <c r="AO340" i="2"/>
  <c r="AX340" i="2"/>
  <c r="AW339" i="2"/>
  <c r="AZ339" i="2"/>
  <c r="AY340" i="2"/>
  <c r="BA340" i="2"/>
  <c r="AK341" i="2"/>
  <c r="AH341" i="2"/>
  <c r="Y341" i="2"/>
  <c r="Z341" i="2"/>
  <c r="AA341" i="2"/>
  <c r="AB341" i="2"/>
  <c r="X341" i="2"/>
  <c r="W341" i="2"/>
  <c r="AL341" i="2"/>
  <c r="AD341" i="2"/>
  <c r="AC341" i="2"/>
  <c r="AE341" i="2"/>
  <c r="AM341" i="2"/>
  <c r="AN341" i="2"/>
  <c r="P341" i="2"/>
  <c r="Q341" i="2"/>
  <c r="G341" i="2"/>
  <c r="J341" i="2"/>
  <c r="F341" i="2"/>
  <c r="I341" i="2"/>
  <c r="S341" i="2"/>
  <c r="M341" i="2"/>
  <c r="L341" i="2"/>
  <c r="K341" i="2"/>
  <c r="R341" i="2"/>
  <c r="T341" i="2"/>
  <c r="AO341" i="2"/>
  <c r="AX341" i="2"/>
  <c r="AW340" i="2"/>
  <c r="AZ340" i="2"/>
  <c r="AY341" i="2"/>
  <c r="BA341" i="2"/>
  <c r="AK342" i="2"/>
  <c r="AH342" i="2"/>
  <c r="Y342" i="2"/>
  <c r="Z342" i="2"/>
  <c r="AA342" i="2"/>
  <c r="AB342" i="2"/>
  <c r="X342" i="2"/>
  <c r="W342" i="2"/>
  <c r="AL342" i="2"/>
  <c r="AD342" i="2"/>
  <c r="AC342" i="2"/>
  <c r="AE342" i="2"/>
  <c r="AM342" i="2"/>
  <c r="AN342" i="2"/>
  <c r="P342" i="2"/>
  <c r="Q342" i="2"/>
  <c r="G342" i="2"/>
  <c r="J342" i="2"/>
  <c r="F342" i="2"/>
  <c r="I342" i="2"/>
  <c r="S342" i="2"/>
  <c r="M342" i="2"/>
  <c r="L342" i="2"/>
  <c r="K342" i="2"/>
  <c r="R342" i="2"/>
  <c r="T342" i="2"/>
  <c r="AO342" i="2"/>
  <c r="AX342" i="2"/>
  <c r="AW341" i="2"/>
  <c r="AZ341" i="2"/>
  <c r="AY342" i="2"/>
  <c r="BA342" i="2"/>
  <c r="AK343" i="2"/>
  <c r="AH343" i="2"/>
  <c r="Y343" i="2"/>
  <c r="Z343" i="2"/>
  <c r="AA343" i="2"/>
  <c r="AB343" i="2"/>
  <c r="X343" i="2"/>
  <c r="W343" i="2"/>
  <c r="AL343" i="2"/>
  <c r="AD343" i="2"/>
  <c r="AC343" i="2"/>
  <c r="AE343" i="2"/>
  <c r="AM343" i="2"/>
  <c r="AN343" i="2"/>
  <c r="P343" i="2"/>
  <c r="Q343" i="2"/>
  <c r="G343" i="2"/>
  <c r="J343" i="2"/>
  <c r="F343" i="2"/>
  <c r="I343" i="2"/>
  <c r="S343" i="2"/>
  <c r="M343" i="2"/>
  <c r="L343" i="2"/>
  <c r="K343" i="2"/>
  <c r="R343" i="2"/>
  <c r="T343" i="2"/>
  <c r="AO343" i="2"/>
  <c r="AX343" i="2"/>
  <c r="AW342" i="2"/>
  <c r="AZ342" i="2"/>
  <c r="AY343" i="2"/>
  <c r="BA343" i="2"/>
  <c r="AK344" i="2"/>
  <c r="AH344" i="2"/>
  <c r="Y344" i="2"/>
  <c r="Z344" i="2"/>
  <c r="AA344" i="2"/>
  <c r="AB344" i="2"/>
  <c r="X344" i="2"/>
  <c r="W344" i="2"/>
  <c r="AL344" i="2"/>
  <c r="AD344" i="2"/>
  <c r="AC344" i="2"/>
  <c r="AE344" i="2"/>
  <c r="AM344" i="2"/>
  <c r="AN344" i="2"/>
  <c r="P344" i="2"/>
  <c r="Q344" i="2"/>
  <c r="G344" i="2"/>
  <c r="J344" i="2"/>
  <c r="F344" i="2"/>
  <c r="I344" i="2"/>
  <c r="S344" i="2"/>
  <c r="M344" i="2"/>
  <c r="L344" i="2"/>
  <c r="K344" i="2"/>
  <c r="R344" i="2"/>
  <c r="T344" i="2"/>
  <c r="AO344" i="2"/>
  <c r="AX344" i="2"/>
  <c r="AW343" i="2"/>
  <c r="AZ343" i="2"/>
  <c r="AY344" i="2"/>
  <c r="BA344" i="2"/>
  <c r="AK345" i="2"/>
  <c r="AH345" i="2"/>
  <c r="Y345" i="2"/>
  <c r="Z345" i="2"/>
  <c r="AA345" i="2"/>
  <c r="AB345" i="2"/>
  <c r="X345" i="2"/>
  <c r="W345" i="2"/>
  <c r="AL345" i="2"/>
  <c r="AD345" i="2"/>
  <c r="AC345" i="2"/>
  <c r="AE345" i="2"/>
  <c r="AM345" i="2"/>
  <c r="AN345" i="2"/>
  <c r="P345" i="2"/>
  <c r="Q345" i="2"/>
  <c r="G345" i="2"/>
  <c r="J345" i="2"/>
  <c r="F345" i="2"/>
  <c r="I345" i="2"/>
  <c r="S345" i="2"/>
  <c r="M345" i="2"/>
  <c r="L345" i="2"/>
  <c r="K345" i="2"/>
  <c r="R345" i="2"/>
  <c r="T345" i="2"/>
  <c r="AO345" i="2"/>
  <c r="AX345" i="2"/>
  <c r="AW344" i="2"/>
  <c r="AZ344" i="2"/>
  <c r="AY345" i="2"/>
  <c r="BA345" i="2"/>
  <c r="AK346" i="2"/>
  <c r="AH346" i="2"/>
  <c r="Y346" i="2"/>
  <c r="Z346" i="2"/>
  <c r="AA346" i="2"/>
  <c r="AB346" i="2"/>
  <c r="X346" i="2"/>
  <c r="W346" i="2"/>
  <c r="AL346" i="2"/>
  <c r="AD346" i="2"/>
  <c r="AC346" i="2"/>
  <c r="AE346" i="2"/>
  <c r="AM346" i="2"/>
  <c r="AN346" i="2"/>
  <c r="P346" i="2"/>
  <c r="Q346" i="2"/>
  <c r="G346" i="2"/>
  <c r="J346" i="2"/>
  <c r="F346" i="2"/>
  <c r="I346" i="2"/>
  <c r="S346" i="2"/>
  <c r="M346" i="2"/>
  <c r="L346" i="2"/>
  <c r="K346" i="2"/>
  <c r="R346" i="2"/>
  <c r="T346" i="2"/>
  <c r="AO346" i="2"/>
  <c r="AX346" i="2"/>
  <c r="AW345" i="2"/>
  <c r="AZ345" i="2"/>
  <c r="AY346" i="2"/>
  <c r="BA346" i="2"/>
  <c r="AK347" i="2"/>
  <c r="AH347" i="2"/>
  <c r="Y347" i="2"/>
  <c r="Z347" i="2"/>
  <c r="AA347" i="2"/>
  <c r="AB347" i="2"/>
  <c r="X347" i="2"/>
  <c r="W347" i="2"/>
  <c r="AL347" i="2"/>
  <c r="AD347" i="2"/>
  <c r="AC347" i="2"/>
  <c r="AE347" i="2"/>
  <c r="AM347" i="2"/>
  <c r="AN347" i="2"/>
  <c r="P347" i="2"/>
  <c r="Q347" i="2"/>
  <c r="G347" i="2"/>
  <c r="J347" i="2"/>
  <c r="F347" i="2"/>
  <c r="I347" i="2"/>
  <c r="S347" i="2"/>
  <c r="M347" i="2"/>
  <c r="L347" i="2"/>
  <c r="K347" i="2"/>
  <c r="R347" i="2"/>
  <c r="T347" i="2"/>
  <c r="AO347" i="2"/>
  <c r="AX347" i="2"/>
  <c r="AW346" i="2"/>
  <c r="AZ346" i="2"/>
  <c r="AY347" i="2"/>
  <c r="BA347" i="2"/>
  <c r="AK348" i="2"/>
  <c r="AH348" i="2"/>
  <c r="Y348" i="2"/>
  <c r="Z348" i="2"/>
  <c r="AA348" i="2"/>
  <c r="AB348" i="2"/>
  <c r="X348" i="2"/>
  <c r="W348" i="2"/>
  <c r="AL348" i="2"/>
  <c r="AD348" i="2"/>
  <c r="AC348" i="2"/>
  <c r="AE348" i="2"/>
  <c r="AM348" i="2"/>
  <c r="AN348" i="2"/>
  <c r="P348" i="2"/>
  <c r="Q348" i="2"/>
  <c r="G348" i="2"/>
  <c r="J348" i="2"/>
  <c r="F348" i="2"/>
  <c r="I348" i="2"/>
  <c r="S348" i="2"/>
  <c r="M348" i="2"/>
  <c r="L348" i="2"/>
  <c r="K348" i="2"/>
  <c r="R348" i="2"/>
  <c r="T348" i="2"/>
  <c r="AO348" i="2"/>
  <c r="AX348" i="2"/>
  <c r="AW347" i="2"/>
  <c r="AZ347" i="2"/>
  <c r="AY348" i="2"/>
  <c r="BA348" i="2"/>
  <c r="AK349" i="2"/>
  <c r="AH349" i="2"/>
  <c r="Y349" i="2"/>
  <c r="Z349" i="2"/>
  <c r="AA349" i="2"/>
  <c r="AB349" i="2"/>
  <c r="X349" i="2"/>
  <c r="W349" i="2"/>
  <c r="AL349" i="2"/>
  <c r="AD349" i="2"/>
  <c r="AC349" i="2"/>
  <c r="AE349" i="2"/>
  <c r="AM349" i="2"/>
  <c r="AN349" i="2"/>
  <c r="P349" i="2"/>
  <c r="Q349" i="2"/>
  <c r="G349" i="2"/>
  <c r="J349" i="2"/>
  <c r="F349" i="2"/>
  <c r="I349" i="2"/>
  <c r="S349" i="2"/>
  <c r="M349" i="2"/>
  <c r="L349" i="2"/>
  <c r="K349" i="2"/>
  <c r="R349" i="2"/>
  <c r="T349" i="2"/>
  <c r="AO349" i="2"/>
  <c r="AX349" i="2"/>
  <c r="AW348" i="2"/>
  <c r="AZ348" i="2"/>
  <c r="AY349" i="2"/>
  <c r="BA349" i="2"/>
  <c r="AK350" i="2"/>
  <c r="AH350" i="2"/>
  <c r="Y350" i="2"/>
  <c r="Z350" i="2"/>
  <c r="AA350" i="2"/>
  <c r="AB350" i="2"/>
  <c r="X350" i="2"/>
  <c r="W350" i="2"/>
  <c r="AL350" i="2"/>
  <c r="AD350" i="2"/>
  <c r="AC350" i="2"/>
  <c r="AE350" i="2"/>
  <c r="AM350" i="2"/>
  <c r="AN350" i="2"/>
  <c r="P350" i="2"/>
  <c r="Q350" i="2"/>
  <c r="G350" i="2"/>
  <c r="J350" i="2"/>
  <c r="F350" i="2"/>
  <c r="I350" i="2"/>
  <c r="S350" i="2"/>
  <c r="M350" i="2"/>
  <c r="L350" i="2"/>
  <c r="K350" i="2"/>
  <c r="R350" i="2"/>
  <c r="T350" i="2"/>
  <c r="AO350" i="2"/>
  <c r="AX350" i="2"/>
  <c r="AW349" i="2"/>
  <c r="AZ349" i="2"/>
  <c r="AY350" i="2"/>
  <c r="BA350" i="2"/>
  <c r="AK351" i="2"/>
  <c r="AH351" i="2"/>
  <c r="Y351" i="2"/>
  <c r="Z351" i="2"/>
  <c r="AA351" i="2"/>
  <c r="AB351" i="2"/>
  <c r="X351" i="2"/>
  <c r="W351" i="2"/>
  <c r="AL351" i="2"/>
  <c r="AD351" i="2"/>
  <c r="AC351" i="2"/>
  <c r="AE351" i="2"/>
  <c r="AM351" i="2"/>
  <c r="AN351" i="2"/>
  <c r="P351" i="2"/>
  <c r="Q351" i="2"/>
  <c r="G351" i="2"/>
  <c r="J351" i="2"/>
  <c r="F351" i="2"/>
  <c r="I351" i="2"/>
  <c r="S351" i="2"/>
  <c r="M351" i="2"/>
  <c r="L351" i="2"/>
  <c r="K351" i="2"/>
  <c r="R351" i="2"/>
  <c r="T351" i="2"/>
  <c r="AO351" i="2"/>
  <c r="AX351" i="2"/>
  <c r="AW350" i="2"/>
  <c r="AZ350" i="2"/>
  <c r="AY351" i="2"/>
  <c r="BA351" i="2"/>
  <c r="AK352" i="2"/>
  <c r="AH352" i="2"/>
  <c r="Y352" i="2"/>
  <c r="Z352" i="2"/>
  <c r="AA352" i="2"/>
  <c r="AB352" i="2"/>
  <c r="X352" i="2"/>
  <c r="W352" i="2"/>
  <c r="AL352" i="2"/>
  <c r="AD352" i="2"/>
  <c r="AC352" i="2"/>
  <c r="AE352" i="2"/>
  <c r="AM352" i="2"/>
  <c r="AN352" i="2"/>
  <c r="P352" i="2"/>
  <c r="Q352" i="2"/>
  <c r="G352" i="2"/>
  <c r="J352" i="2"/>
  <c r="F352" i="2"/>
  <c r="I352" i="2"/>
  <c r="S352" i="2"/>
  <c r="M352" i="2"/>
  <c r="L352" i="2"/>
  <c r="K352" i="2"/>
  <c r="R352" i="2"/>
  <c r="T352" i="2"/>
  <c r="AO352" i="2"/>
  <c r="AX352" i="2"/>
  <c r="AW351" i="2"/>
  <c r="AZ351" i="2"/>
  <c r="AY352" i="2"/>
  <c r="BA352" i="2"/>
  <c r="AK353" i="2"/>
  <c r="AH353" i="2"/>
  <c r="Y353" i="2"/>
  <c r="Z353" i="2"/>
  <c r="AA353" i="2"/>
  <c r="AB353" i="2"/>
  <c r="X353" i="2"/>
  <c r="W353" i="2"/>
  <c r="AL353" i="2"/>
  <c r="AD353" i="2"/>
  <c r="AC353" i="2"/>
  <c r="AE353" i="2"/>
  <c r="AM353" i="2"/>
  <c r="AN353" i="2"/>
  <c r="P353" i="2"/>
  <c r="Q353" i="2"/>
  <c r="G353" i="2"/>
  <c r="J353" i="2"/>
  <c r="F353" i="2"/>
  <c r="I353" i="2"/>
  <c r="S353" i="2"/>
  <c r="M353" i="2"/>
  <c r="L353" i="2"/>
  <c r="K353" i="2"/>
  <c r="R353" i="2"/>
  <c r="T353" i="2"/>
  <c r="AO353" i="2"/>
  <c r="AX353" i="2"/>
  <c r="AW352" i="2"/>
  <c r="AZ352" i="2"/>
  <c r="AY353" i="2"/>
  <c r="BA353" i="2"/>
  <c r="AK354" i="2"/>
  <c r="AH354" i="2"/>
  <c r="Y354" i="2"/>
  <c r="Z354" i="2"/>
  <c r="AA354" i="2"/>
  <c r="AB354" i="2"/>
  <c r="X354" i="2"/>
  <c r="W354" i="2"/>
  <c r="AL354" i="2"/>
  <c r="AD354" i="2"/>
  <c r="AC354" i="2"/>
  <c r="AE354" i="2"/>
  <c r="AM354" i="2"/>
  <c r="AN354" i="2"/>
  <c r="P354" i="2"/>
  <c r="Q354" i="2"/>
  <c r="G354" i="2"/>
  <c r="J354" i="2"/>
  <c r="F354" i="2"/>
  <c r="I354" i="2"/>
  <c r="S354" i="2"/>
  <c r="M354" i="2"/>
  <c r="L354" i="2"/>
  <c r="K354" i="2"/>
  <c r="R354" i="2"/>
  <c r="T354" i="2"/>
  <c r="AO354" i="2"/>
  <c r="AX354" i="2"/>
  <c r="AW353" i="2"/>
  <c r="AZ353" i="2"/>
  <c r="AY354" i="2"/>
  <c r="BA354" i="2"/>
  <c r="AK355" i="2"/>
  <c r="AH355" i="2"/>
  <c r="Y355" i="2"/>
  <c r="Z355" i="2"/>
  <c r="AA355" i="2"/>
  <c r="AB355" i="2"/>
  <c r="X355" i="2"/>
  <c r="W355" i="2"/>
  <c r="AL355" i="2"/>
  <c r="AD355" i="2"/>
  <c r="AC355" i="2"/>
  <c r="AE355" i="2"/>
  <c r="AM355" i="2"/>
  <c r="AN355" i="2"/>
  <c r="P355" i="2"/>
  <c r="Q355" i="2"/>
  <c r="G355" i="2"/>
  <c r="J355" i="2"/>
  <c r="F355" i="2"/>
  <c r="I355" i="2"/>
  <c r="S355" i="2"/>
  <c r="M355" i="2"/>
  <c r="L355" i="2"/>
  <c r="K355" i="2"/>
  <c r="R355" i="2"/>
  <c r="T355" i="2"/>
  <c r="AO355" i="2"/>
  <c r="AX355" i="2"/>
  <c r="AW354" i="2"/>
  <c r="AZ354" i="2"/>
  <c r="AY355" i="2"/>
  <c r="BA355" i="2"/>
  <c r="AK356" i="2"/>
  <c r="AH356" i="2"/>
  <c r="Y356" i="2"/>
  <c r="Z356" i="2"/>
  <c r="AA356" i="2"/>
  <c r="AB356" i="2"/>
  <c r="X356" i="2"/>
  <c r="W356" i="2"/>
  <c r="AL356" i="2"/>
  <c r="AD356" i="2"/>
  <c r="AC356" i="2"/>
  <c r="AE356" i="2"/>
  <c r="AM356" i="2"/>
  <c r="AN356" i="2"/>
  <c r="P356" i="2"/>
  <c r="Q356" i="2"/>
  <c r="G356" i="2"/>
  <c r="J356" i="2"/>
  <c r="F356" i="2"/>
  <c r="I356" i="2"/>
  <c r="S356" i="2"/>
  <c r="M356" i="2"/>
  <c r="L356" i="2"/>
  <c r="K356" i="2"/>
  <c r="R356" i="2"/>
  <c r="T356" i="2"/>
  <c r="AO356" i="2"/>
  <c r="AX356" i="2"/>
  <c r="AW355" i="2"/>
  <c r="AZ355" i="2"/>
  <c r="AY356" i="2"/>
  <c r="BA356" i="2"/>
  <c r="AK357" i="2"/>
  <c r="AH357" i="2"/>
  <c r="Y357" i="2"/>
  <c r="Z357" i="2"/>
  <c r="AA357" i="2"/>
  <c r="AB357" i="2"/>
  <c r="X357" i="2"/>
  <c r="W357" i="2"/>
  <c r="AL357" i="2"/>
  <c r="AD357" i="2"/>
  <c r="AC357" i="2"/>
  <c r="AE357" i="2"/>
  <c r="AM357" i="2"/>
  <c r="AN357" i="2"/>
  <c r="P357" i="2"/>
  <c r="Q357" i="2"/>
  <c r="G357" i="2"/>
  <c r="J357" i="2"/>
  <c r="F357" i="2"/>
  <c r="I357" i="2"/>
  <c r="S357" i="2"/>
  <c r="M357" i="2"/>
  <c r="L357" i="2"/>
  <c r="K357" i="2"/>
  <c r="R357" i="2"/>
  <c r="T357" i="2"/>
  <c r="AO357" i="2"/>
  <c r="AX357" i="2"/>
  <c r="AW356" i="2"/>
  <c r="AZ356" i="2"/>
  <c r="AY357" i="2"/>
  <c r="BA357" i="2"/>
  <c r="AK358" i="2"/>
  <c r="AH358" i="2"/>
  <c r="Y358" i="2"/>
  <c r="Z358" i="2"/>
  <c r="AA358" i="2"/>
  <c r="AB358" i="2"/>
  <c r="X358" i="2"/>
  <c r="W358" i="2"/>
  <c r="AL358" i="2"/>
  <c r="AD358" i="2"/>
  <c r="AC358" i="2"/>
  <c r="AE358" i="2"/>
  <c r="AM358" i="2"/>
  <c r="AN358" i="2"/>
  <c r="P358" i="2"/>
  <c r="Q358" i="2"/>
  <c r="G358" i="2"/>
  <c r="J358" i="2"/>
  <c r="F358" i="2"/>
  <c r="I358" i="2"/>
  <c r="S358" i="2"/>
  <c r="M358" i="2"/>
  <c r="L358" i="2"/>
  <c r="K358" i="2"/>
  <c r="R358" i="2"/>
  <c r="T358" i="2"/>
  <c r="AO358" i="2"/>
  <c r="AX358" i="2"/>
  <c r="AW357" i="2"/>
  <c r="AZ357" i="2"/>
  <c r="AY358" i="2"/>
  <c r="BA358" i="2"/>
  <c r="AK359" i="2"/>
  <c r="AH359" i="2"/>
  <c r="Y359" i="2"/>
  <c r="Z359" i="2"/>
  <c r="AA359" i="2"/>
  <c r="AB359" i="2"/>
  <c r="X359" i="2"/>
  <c r="W359" i="2"/>
  <c r="AL359" i="2"/>
  <c r="AD359" i="2"/>
  <c r="AC359" i="2"/>
  <c r="AE359" i="2"/>
  <c r="AM359" i="2"/>
  <c r="AN359" i="2"/>
  <c r="P359" i="2"/>
  <c r="Q359" i="2"/>
  <c r="G359" i="2"/>
  <c r="J359" i="2"/>
  <c r="F359" i="2"/>
  <c r="I359" i="2"/>
  <c r="S359" i="2"/>
  <c r="M359" i="2"/>
  <c r="L359" i="2"/>
  <c r="K359" i="2"/>
  <c r="R359" i="2"/>
  <c r="T359" i="2"/>
  <c r="AO359" i="2"/>
  <c r="AX359" i="2"/>
  <c r="AW358" i="2"/>
  <c r="AZ358" i="2"/>
  <c r="AY359" i="2"/>
  <c r="BA359" i="2"/>
  <c r="AK360" i="2"/>
  <c r="AH360" i="2"/>
  <c r="Y360" i="2"/>
  <c r="Z360" i="2"/>
  <c r="AA360" i="2"/>
  <c r="AB360" i="2"/>
  <c r="X360" i="2"/>
  <c r="W360" i="2"/>
  <c r="AL360" i="2"/>
  <c r="AD360" i="2"/>
  <c r="AC360" i="2"/>
  <c r="AE360" i="2"/>
  <c r="AM360" i="2"/>
  <c r="AN360" i="2"/>
  <c r="P360" i="2"/>
  <c r="Q360" i="2"/>
  <c r="G360" i="2"/>
  <c r="J360" i="2"/>
  <c r="F360" i="2"/>
  <c r="I360" i="2"/>
  <c r="S360" i="2"/>
  <c r="M360" i="2"/>
  <c r="L360" i="2"/>
  <c r="K360" i="2"/>
  <c r="R360" i="2"/>
  <c r="T360" i="2"/>
  <c r="AO360" i="2"/>
  <c r="AX360" i="2"/>
  <c r="AW359" i="2"/>
  <c r="AZ359" i="2"/>
  <c r="AY360" i="2"/>
  <c r="BA360" i="2"/>
  <c r="AK361" i="2"/>
  <c r="AH361" i="2"/>
  <c r="Y361" i="2"/>
  <c r="Z361" i="2"/>
  <c r="AA361" i="2"/>
  <c r="AB361" i="2"/>
  <c r="X361" i="2"/>
  <c r="W361" i="2"/>
  <c r="AL361" i="2"/>
  <c r="AD361" i="2"/>
  <c r="AC361" i="2"/>
  <c r="AE361" i="2"/>
  <c r="AM361" i="2"/>
  <c r="AN361" i="2"/>
  <c r="P361" i="2"/>
  <c r="Q361" i="2"/>
  <c r="G361" i="2"/>
  <c r="J361" i="2"/>
  <c r="F361" i="2"/>
  <c r="I361" i="2"/>
  <c r="S361" i="2"/>
  <c r="M361" i="2"/>
  <c r="L361" i="2"/>
  <c r="K361" i="2"/>
  <c r="R361" i="2"/>
  <c r="T361" i="2"/>
  <c r="AO361" i="2"/>
  <c r="AX361" i="2"/>
  <c r="AW360" i="2"/>
  <c r="AZ360" i="2"/>
  <c r="AY361" i="2"/>
  <c r="BA361" i="2"/>
  <c r="AK362" i="2"/>
  <c r="AH362" i="2"/>
  <c r="Y362" i="2"/>
  <c r="Z362" i="2"/>
  <c r="AA362" i="2"/>
  <c r="AB362" i="2"/>
  <c r="X362" i="2"/>
  <c r="W362" i="2"/>
  <c r="AL362" i="2"/>
  <c r="AD362" i="2"/>
  <c r="AC362" i="2"/>
  <c r="AE362" i="2"/>
  <c r="AM362" i="2"/>
  <c r="AN362" i="2"/>
  <c r="P362" i="2"/>
  <c r="Q362" i="2"/>
  <c r="G362" i="2"/>
  <c r="J362" i="2"/>
  <c r="F362" i="2"/>
  <c r="I362" i="2"/>
  <c r="S362" i="2"/>
  <c r="M362" i="2"/>
  <c r="L362" i="2"/>
  <c r="K362" i="2"/>
  <c r="R362" i="2"/>
  <c r="T362" i="2"/>
  <c r="AO362" i="2"/>
  <c r="AX362" i="2"/>
  <c r="AW361" i="2"/>
  <c r="AZ361" i="2"/>
  <c r="AY362" i="2"/>
  <c r="BA362" i="2"/>
  <c r="AK363" i="2"/>
  <c r="AH363" i="2"/>
  <c r="Y363" i="2"/>
  <c r="Z363" i="2"/>
  <c r="AA363" i="2"/>
  <c r="AB363" i="2"/>
  <c r="X363" i="2"/>
  <c r="W363" i="2"/>
  <c r="AL363" i="2"/>
  <c r="AD363" i="2"/>
  <c r="AC363" i="2"/>
  <c r="AE363" i="2"/>
  <c r="AM363" i="2"/>
  <c r="AN363" i="2"/>
  <c r="P363" i="2"/>
  <c r="Q363" i="2"/>
  <c r="G363" i="2"/>
  <c r="J363" i="2"/>
  <c r="F363" i="2"/>
  <c r="I363" i="2"/>
  <c r="S363" i="2"/>
  <c r="M363" i="2"/>
  <c r="L363" i="2"/>
  <c r="K363" i="2"/>
  <c r="R363" i="2"/>
  <c r="T363" i="2"/>
  <c r="AO363" i="2"/>
  <c r="AX363" i="2"/>
  <c r="AW362" i="2"/>
  <c r="AZ362" i="2"/>
  <c r="AY363" i="2"/>
  <c r="BA363" i="2"/>
  <c r="AK364" i="2"/>
  <c r="AH364" i="2"/>
  <c r="Y364" i="2"/>
  <c r="Z364" i="2"/>
  <c r="AA364" i="2"/>
  <c r="AB364" i="2"/>
  <c r="X364" i="2"/>
  <c r="W364" i="2"/>
  <c r="AL364" i="2"/>
  <c r="AD364" i="2"/>
  <c r="AC364" i="2"/>
  <c r="AE364" i="2"/>
  <c r="AM364" i="2"/>
  <c r="AN364" i="2"/>
  <c r="P364" i="2"/>
  <c r="Q364" i="2"/>
  <c r="G364" i="2"/>
  <c r="J364" i="2"/>
  <c r="F364" i="2"/>
  <c r="I364" i="2"/>
  <c r="S364" i="2"/>
  <c r="M364" i="2"/>
  <c r="L364" i="2"/>
  <c r="K364" i="2"/>
  <c r="R364" i="2"/>
  <c r="T364" i="2"/>
  <c r="AO364" i="2"/>
  <c r="AX364" i="2"/>
  <c r="AW363" i="2"/>
  <c r="AZ363" i="2"/>
  <c r="AY364" i="2"/>
  <c r="BA364" i="2"/>
  <c r="AK365" i="2"/>
  <c r="AH365" i="2"/>
  <c r="Y365" i="2"/>
  <c r="Z365" i="2"/>
  <c r="AA365" i="2"/>
  <c r="AB365" i="2"/>
  <c r="X365" i="2"/>
  <c r="W365" i="2"/>
  <c r="AL365" i="2"/>
  <c r="AD365" i="2"/>
  <c r="AC365" i="2"/>
  <c r="AE365" i="2"/>
  <c r="AM365" i="2"/>
  <c r="AN365" i="2"/>
  <c r="P365" i="2"/>
  <c r="Q365" i="2"/>
  <c r="G365" i="2"/>
  <c r="J365" i="2"/>
  <c r="F365" i="2"/>
  <c r="I365" i="2"/>
  <c r="S365" i="2"/>
  <c r="M365" i="2"/>
  <c r="L365" i="2"/>
  <c r="K365" i="2"/>
  <c r="R365" i="2"/>
  <c r="T365" i="2"/>
  <c r="AO365" i="2"/>
  <c r="AX365" i="2"/>
  <c r="AW364" i="2"/>
  <c r="AZ364" i="2"/>
  <c r="AY365" i="2"/>
  <c r="BA365" i="2"/>
  <c r="AK366" i="2"/>
  <c r="AH366" i="2"/>
  <c r="Y366" i="2"/>
  <c r="Z366" i="2"/>
  <c r="AA366" i="2"/>
  <c r="AB366" i="2"/>
  <c r="X366" i="2"/>
  <c r="W366" i="2"/>
  <c r="AL366" i="2"/>
  <c r="AD366" i="2"/>
  <c r="AC366" i="2"/>
  <c r="AE366" i="2"/>
  <c r="AM366" i="2"/>
  <c r="AN366" i="2"/>
  <c r="P366" i="2"/>
  <c r="Q366" i="2"/>
  <c r="G366" i="2"/>
  <c r="J366" i="2"/>
  <c r="F366" i="2"/>
  <c r="I366" i="2"/>
  <c r="S366" i="2"/>
  <c r="M366" i="2"/>
  <c r="L366" i="2"/>
  <c r="K366" i="2"/>
  <c r="R366" i="2"/>
  <c r="T366" i="2"/>
  <c r="AO366" i="2"/>
  <c r="AX366" i="2"/>
  <c r="AW365" i="2"/>
  <c r="AZ365" i="2"/>
  <c r="AY366" i="2"/>
  <c r="BA366" i="2"/>
  <c r="AK367" i="2"/>
  <c r="AH367" i="2"/>
  <c r="Y367" i="2"/>
  <c r="Z367" i="2"/>
  <c r="AA367" i="2"/>
  <c r="AB367" i="2"/>
  <c r="X367" i="2"/>
  <c r="W367" i="2"/>
  <c r="AL367" i="2"/>
  <c r="AD367" i="2"/>
  <c r="AC367" i="2"/>
  <c r="AE367" i="2"/>
  <c r="AM367" i="2"/>
  <c r="AN367" i="2"/>
  <c r="P367" i="2"/>
  <c r="Q367" i="2"/>
  <c r="G367" i="2"/>
  <c r="J367" i="2"/>
  <c r="F367" i="2"/>
  <c r="I367" i="2"/>
  <c r="S367" i="2"/>
  <c r="M367" i="2"/>
  <c r="L367" i="2"/>
  <c r="K367" i="2"/>
  <c r="R367" i="2"/>
  <c r="T367" i="2"/>
  <c r="AO367" i="2"/>
  <c r="AX367" i="2"/>
  <c r="AW366" i="2"/>
  <c r="AZ366" i="2"/>
  <c r="AY367" i="2"/>
  <c r="BA367" i="2"/>
  <c r="AK368" i="2"/>
  <c r="AH368" i="2"/>
  <c r="Y368" i="2"/>
  <c r="Z368" i="2"/>
  <c r="AA368" i="2"/>
  <c r="AB368" i="2"/>
  <c r="X368" i="2"/>
  <c r="W368" i="2"/>
  <c r="AL368" i="2"/>
  <c r="AD368" i="2"/>
  <c r="AC368" i="2"/>
  <c r="AE368" i="2"/>
  <c r="AM368" i="2"/>
  <c r="AN368" i="2"/>
  <c r="P368" i="2"/>
  <c r="Q368" i="2"/>
  <c r="G368" i="2"/>
  <c r="J368" i="2"/>
  <c r="F368" i="2"/>
  <c r="I368" i="2"/>
  <c r="S368" i="2"/>
  <c r="M368" i="2"/>
  <c r="L368" i="2"/>
  <c r="K368" i="2"/>
  <c r="R368" i="2"/>
  <c r="T368" i="2"/>
  <c r="AO368" i="2"/>
  <c r="AX368" i="2"/>
  <c r="AW367" i="2"/>
  <c r="AZ367" i="2"/>
  <c r="AY368" i="2"/>
  <c r="BA368" i="2"/>
  <c r="AK369" i="2"/>
  <c r="AH369" i="2"/>
  <c r="Y369" i="2"/>
  <c r="Z369" i="2"/>
  <c r="AA369" i="2"/>
  <c r="AB369" i="2"/>
  <c r="X369" i="2"/>
  <c r="W369" i="2"/>
  <c r="AL369" i="2"/>
  <c r="AD369" i="2"/>
  <c r="AC369" i="2"/>
  <c r="AE369" i="2"/>
  <c r="AM369" i="2"/>
  <c r="AN369" i="2"/>
  <c r="P369" i="2"/>
  <c r="Q369" i="2"/>
  <c r="G369" i="2"/>
  <c r="J369" i="2"/>
  <c r="F369" i="2"/>
  <c r="I369" i="2"/>
  <c r="S369" i="2"/>
  <c r="M369" i="2"/>
  <c r="L369" i="2"/>
  <c r="K369" i="2"/>
  <c r="R369" i="2"/>
  <c r="T369" i="2"/>
  <c r="AO369" i="2"/>
  <c r="AX369" i="2"/>
  <c r="AW368" i="2"/>
  <c r="AZ368" i="2"/>
  <c r="AY369" i="2"/>
  <c r="BA369" i="2"/>
  <c r="AK370" i="2"/>
  <c r="AH370" i="2"/>
  <c r="Y370" i="2"/>
  <c r="Z370" i="2"/>
  <c r="AA370" i="2"/>
  <c r="AB370" i="2"/>
  <c r="X370" i="2"/>
  <c r="W370" i="2"/>
  <c r="AL370" i="2"/>
  <c r="AD370" i="2"/>
  <c r="AC370" i="2"/>
  <c r="AE370" i="2"/>
  <c r="AM370" i="2"/>
  <c r="AN370" i="2"/>
  <c r="P370" i="2"/>
  <c r="Q370" i="2"/>
  <c r="G370" i="2"/>
  <c r="J370" i="2"/>
  <c r="F370" i="2"/>
  <c r="I370" i="2"/>
  <c r="S370" i="2"/>
  <c r="M370" i="2"/>
  <c r="L370" i="2"/>
  <c r="K370" i="2"/>
  <c r="R370" i="2"/>
  <c r="T370" i="2"/>
  <c r="AO370" i="2"/>
  <c r="AX370" i="2"/>
  <c r="AW369" i="2"/>
  <c r="AZ369" i="2"/>
  <c r="AY370" i="2"/>
  <c r="BA370" i="2"/>
  <c r="AK371" i="2"/>
  <c r="AH371" i="2"/>
  <c r="Y371" i="2"/>
  <c r="Z371" i="2"/>
  <c r="AA371" i="2"/>
  <c r="AB371" i="2"/>
  <c r="X371" i="2"/>
  <c r="W371" i="2"/>
  <c r="AL371" i="2"/>
  <c r="AD371" i="2"/>
  <c r="AC371" i="2"/>
  <c r="AE371" i="2"/>
  <c r="AM371" i="2"/>
  <c r="AN371" i="2"/>
  <c r="P371" i="2"/>
  <c r="Q371" i="2"/>
  <c r="G371" i="2"/>
  <c r="J371" i="2"/>
  <c r="F371" i="2"/>
  <c r="I371" i="2"/>
  <c r="S371" i="2"/>
  <c r="M371" i="2"/>
  <c r="L371" i="2"/>
  <c r="K371" i="2"/>
  <c r="R371" i="2"/>
  <c r="T371" i="2"/>
  <c r="AO371" i="2"/>
  <c r="AX371" i="2"/>
  <c r="AW370" i="2"/>
  <c r="AZ370" i="2"/>
  <c r="AY371" i="2"/>
  <c r="BA371" i="2"/>
  <c r="AK372" i="2"/>
  <c r="AH372" i="2"/>
  <c r="Y372" i="2"/>
  <c r="Z372" i="2"/>
  <c r="AA372" i="2"/>
  <c r="AB372" i="2"/>
  <c r="X372" i="2"/>
  <c r="W372" i="2"/>
  <c r="AL372" i="2"/>
  <c r="AD372" i="2"/>
  <c r="AC372" i="2"/>
  <c r="AE372" i="2"/>
  <c r="AM372" i="2"/>
  <c r="AN372" i="2"/>
  <c r="P372" i="2"/>
  <c r="Q372" i="2"/>
  <c r="G372" i="2"/>
  <c r="J372" i="2"/>
  <c r="F372" i="2"/>
  <c r="I372" i="2"/>
  <c r="S372" i="2"/>
  <c r="M372" i="2"/>
  <c r="L372" i="2"/>
  <c r="K372" i="2"/>
  <c r="R372" i="2"/>
  <c r="T372" i="2"/>
  <c r="AO372" i="2"/>
  <c r="AX372" i="2"/>
  <c r="AW371" i="2"/>
  <c r="AZ371" i="2"/>
  <c r="AY372" i="2"/>
  <c r="BA372" i="2"/>
  <c r="AK373" i="2"/>
  <c r="AH373" i="2"/>
  <c r="Y373" i="2"/>
  <c r="Z373" i="2"/>
  <c r="AA373" i="2"/>
  <c r="AB373" i="2"/>
  <c r="X373" i="2"/>
  <c r="W373" i="2"/>
  <c r="AL373" i="2"/>
  <c r="AD373" i="2"/>
  <c r="AC373" i="2"/>
  <c r="AE373" i="2"/>
  <c r="AM373" i="2"/>
  <c r="AN373" i="2"/>
  <c r="P373" i="2"/>
  <c r="Q373" i="2"/>
  <c r="G373" i="2"/>
  <c r="J373" i="2"/>
  <c r="F373" i="2"/>
  <c r="I373" i="2"/>
  <c r="S373" i="2"/>
  <c r="M373" i="2"/>
  <c r="L373" i="2"/>
  <c r="K373" i="2"/>
  <c r="R373" i="2"/>
  <c r="T373" i="2"/>
  <c r="AO373" i="2"/>
  <c r="AX373" i="2"/>
  <c r="AW372" i="2"/>
  <c r="AZ372" i="2"/>
  <c r="AY373" i="2"/>
  <c r="BA373" i="2"/>
  <c r="AK374" i="2"/>
  <c r="AH374" i="2"/>
  <c r="Y374" i="2"/>
  <c r="Z374" i="2"/>
  <c r="AA374" i="2"/>
  <c r="AB374" i="2"/>
  <c r="X374" i="2"/>
  <c r="W374" i="2"/>
  <c r="AL374" i="2"/>
  <c r="AD374" i="2"/>
  <c r="AC374" i="2"/>
  <c r="AE374" i="2"/>
  <c r="AM374" i="2"/>
  <c r="AN374" i="2"/>
  <c r="P374" i="2"/>
  <c r="Q374" i="2"/>
  <c r="G374" i="2"/>
  <c r="J374" i="2"/>
  <c r="F374" i="2"/>
  <c r="I374" i="2"/>
  <c r="S374" i="2"/>
  <c r="M374" i="2"/>
  <c r="L374" i="2"/>
  <c r="K374" i="2"/>
  <c r="R374" i="2"/>
  <c r="T374" i="2"/>
  <c r="AO374" i="2"/>
  <c r="AX374" i="2"/>
  <c r="AW373" i="2"/>
  <c r="AZ373" i="2"/>
  <c r="AY374" i="2"/>
  <c r="BA374" i="2"/>
  <c r="AK375" i="2"/>
  <c r="AH375" i="2"/>
  <c r="Y375" i="2"/>
  <c r="Z375" i="2"/>
  <c r="AA375" i="2"/>
  <c r="AB375" i="2"/>
  <c r="X375" i="2"/>
  <c r="W375" i="2"/>
  <c r="AL375" i="2"/>
  <c r="AD375" i="2"/>
  <c r="AC375" i="2"/>
  <c r="AE375" i="2"/>
  <c r="AM375" i="2"/>
  <c r="AN375" i="2"/>
  <c r="P375" i="2"/>
  <c r="Q375" i="2"/>
  <c r="G375" i="2"/>
  <c r="J375" i="2"/>
  <c r="F375" i="2"/>
  <c r="I375" i="2"/>
  <c r="S375" i="2"/>
  <c r="M375" i="2"/>
  <c r="L375" i="2"/>
  <c r="K375" i="2"/>
  <c r="R375" i="2"/>
  <c r="T375" i="2"/>
  <c r="AO375" i="2"/>
  <c r="AX375" i="2"/>
  <c r="AW374" i="2"/>
  <c r="AZ374" i="2"/>
  <c r="AY375" i="2"/>
  <c r="BA375" i="2"/>
  <c r="AK376" i="2"/>
  <c r="AH376" i="2"/>
  <c r="Y376" i="2"/>
  <c r="Z376" i="2"/>
  <c r="AA376" i="2"/>
  <c r="AB376" i="2"/>
  <c r="X376" i="2"/>
  <c r="W376" i="2"/>
  <c r="AL376" i="2"/>
  <c r="AD376" i="2"/>
  <c r="AC376" i="2"/>
  <c r="AE376" i="2"/>
  <c r="AM376" i="2"/>
  <c r="AN376" i="2"/>
  <c r="P376" i="2"/>
  <c r="Q376" i="2"/>
  <c r="G376" i="2"/>
  <c r="J376" i="2"/>
  <c r="F376" i="2"/>
  <c r="I376" i="2"/>
  <c r="S376" i="2"/>
  <c r="M376" i="2"/>
  <c r="L376" i="2"/>
  <c r="K376" i="2"/>
  <c r="R376" i="2"/>
  <c r="T376" i="2"/>
  <c r="AO376" i="2"/>
  <c r="AX376" i="2"/>
  <c r="AW375" i="2"/>
  <c r="AZ375" i="2"/>
  <c r="AY376" i="2"/>
  <c r="BA376" i="2"/>
  <c r="AK377" i="2"/>
  <c r="AH377" i="2"/>
  <c r="Y377" i="2"/>
  <c r="Z377" i="2"/>
  <c r="AA377" i="2"/>
  <c r="AB377" i="2"/>
  <c r="X377" i="2"/>
  <c r="W377" i="2"/>
  <c r="AL377" i="2"/>
  <c r="AD377" i="2"/>
  <c r="AC377" i="2"/>
  <c r="AE377" i="2"/>
  <c r="AM377" i="2"/>
  <c r="AN377" i="2"/>
  <c r="P377" i="2"/>
  <c r="Q377" i="2"/>
  <c r="G377" i="2"/>
  <c r="J377" i="2"/>
  <c r="F377" i="2"/>
  <c r="I377" i="2"/>
  <c r="S377" i="2"/>
  <c r="M377" i="2"/>
  <c r="L377" i="2"/>
  <c r="K377" i="2"/>
  <c r="R377" i="2"/>
  <c r="T377" i="2"/>
  <c r="AO377" i="2"/>
  <c r="AX377" i="2"/>
  <c r="AW376" i="2"/>
  <c r="AZ376" i="2"/>
  <c r="AY377" i="2"/>
  <c r="BA377" i="2"/>
  <c r="AK378" i="2"/>
  <c r="AH378" i="2"/>
  <c r="Y378" i="2"/>
  <c r="Z378" i="2"/>
  <c r="AA378" i="2"/>
  <c r="AB378" i="2"/>
  <c r="X378" i="2"/>
  <c r="W378" i="2"/>
  <c r="AL378" i="2"/>
  <c r="AD378" i="2"/>
  <c r="AC378" i="2"/>
  <c r="AE378" i="2"/>
  <c r="AM378" i="2"/>
  <c r="AN378" i="2"/>
  <c r="P378" i="2"/>
  <c r="Q378" i="2"/>
  <c r="G378" i="2"/>
  <c r="J378" i="2"/>
  <c r="F378" i="2"/>
  <c r="I378" i="2"/>
  <c r="S378" i="2"/>
  <c r="M378" i="2"/>
  <c r="L378" i="2"/>
  <c r="K378" i="2"/>
  <c r="R378" i="2"/>
  <c r="T378" i="2"/>
  <c r="AO378" i="2"/>
  <c r="AX378" i="2"/>
  <c r="AW377" i="2"/>
  <c r="AZ377" i="2"/>
  <c r="AY378" i="2"/>
  <c r="BA378" i="2"/>
  <c r="AK379" i="2"/>
  <c r="AH379" i="2"/>
  <c r="Y379" i="2"/>
  <c r="Z379" i="2"/>
  <c r="AA379" i="2"/>
  <c r="AB379" i="2"/>
  <c r="X379" i="2"/>
  <c r="W379" i="2"/>
  <c r="AL379" i="2"/>
  <c r="AD379" i="2"/>
  <c r="AC379" i="2"/>
  <c r="AE379" i="2"/>
  <c r="AM379" i="2"/>
  <c r="AN379" i="2"/>
  <c r="P379" i="2"/>
  <c r="Q379" i="2"/>
  <c r="G379" i="2"/>
  <c r="J379" i="2"/>
  <c r="F379" i="2"/>
  <c r="I379" i="2"/>
  <c r="S379" i="2"/>
  <c r="M379" i="2"/>
  <c r="L379" i="2"/>
  <c r="K379" i="2"/>
  <c r="R379" i="2"/>
  <c r="T379" i="2"/>
  <c r="AO379" i="2"/>
  <c r="AX379" i="2"/>
  <c r="AW378" i="2"/>
  <c r="AZ378" i="2"/>
  <c r="AY379" i="2"/>
  <c r="BA379" i="2"/>
  <c r="AK380" i="2"/>
  <c r="AH380" i="2"/>
  <c r="Y380" i="2"/>
  <c r="Z380" i="2"/>
  <c r="AA380" i="2"/>
  <c r="AB380" i="2"/>
  <c r="X380" i="2"/>
  <c r="W380" i="2"/>
  <c r="AL380" i="2"/>
  <c r="AD380" i="2"/>
  <c r="AC380" i="2"/>
  <c r="AE380" i="2"/>
  <c r="AM380" i="2"/>
  <c r="AN380" i="2"/>
  <c r="P380" i="2"/>
  <c r="Q380" i="2"/>
  <c r="G380" i="2"/>
  <c r="J380" i="2"/>
  <c r="F380" i="2"/>
  <c r="I380" i="2"/>
  <c r="S380" i="2"/>
  <c r="M380" i="2"/>
  <c r="L380" i="2"/>
  <c r="K380" i="2"/>
  <c r="R380" i="2"/>
  <c r="T380" i="2"/>
  <c r="AO380" i="2"/>
  <c r="AX380" i="2"/>
  <c r="AW379" i="2"/>
  <c r="AZ379" i="2"/>
  <c r="AY380" i="2"/>
  <c r="BA380" i="2"/>
  <c r="AK381" i="2"/>
  <c r="AH381" i="2"/>
  <c r="Y381" i="2"/>
  <c r="Z381" i="2"/>
  <c r="AA381" i="2"/>
  <c r="AB381" i="2"/>
  <c r="X381" i="2"/>
  <c r="W381" i="2"/>
  <c r="AL381" i="2"/>
  <c r="AD381" i="2"/>
  <c r="AC381" i="2"/>
  <c r="AE381" i="2"/>
  <c r="AM381" i="2"/>
  <c r="AN381" i="2"/>
  <c r="P381" i="2"/>
  <c r="Q381" i="2"/>
  <c r="G381" i="2"/>
  <c r="J381" i="2"/>
  <c r="F381" i="2"/>
  <c r="I381" i="2"/>
  <c r="S381" i="2"/>
  <c r="M381" i="2"/>
  <c r="L381" i="2"/>
  <c r="K381" i="2"/>
  <c r="R381" i="2"/>
  <c r="T381" i="2"/>
  <c r="AO381" i="2"/>
  <c r="AX381" i="2"/>
  <c r="AW380" i="2"/>
  <c r="AZ380" i="2"/>
  <c r="AY381" i="2"/>
  <c r="BA381" i="2"/>
  <c r="AK382" i="2"/>
  <c r="AH382" i="2"/>
  <c r="Y382" i="2"/>
  <c r="Z382" i="2"/>
  <c r="AA382" i="2"/>
  <c r="AB382" i="2"/>
  <c r="X382" i="2"/>
  <c r="W382" i="2"/>
  <c r="AL382" i="2"/>
  <c r="AD382" i="2"/>
  <c r="AC382" i="2"/>
  <c r="AE382" i="2"/>
  <c r="AM382" i="2"/>
  <c r="AN382" i="2"/>
  <c r="P382" i="2"/>
  <c r="Q382" i="2"/>
  <c r="G382" i="2"/>
  <c r="J382" i="2"/>
  <c r="F382" i="2"/>
  <c r="I382" i="2"/>
  <c r="S382" i="2"/>
  <c r="M382" i="2"/>
  <c r="L382" i="2"/>
  <c r="K382" i="2"/>
  <c r="R382" i="2"/>
  <c r="T382" i="2"/>
  <c r="AO382" i="2"/>
  <c r="AX382" i="2"/>
  <c r="AW381" i="2"/>
  <c r="AZ381" i="2"/>
  <c r="AY382" i="2"/>
  <c r="BA382" i="2"/>
  <c r="AK383" i="2"/>
  <c r="AH383" i="2"/>
  <c r="Y383" i="2"/>
  <c r="Z383" i="2"/>
  <c r="AA383" i="2"/>
  <c r="AB383" i="2"/>
  <c r="X383" i="2"/>
  <c r="W383" i="2"/>
  <c r="AL383" i="2"/>
  <c r="AD383" i="2"/>
  <c r="AC383" i="2"/>
  <c r="AE383" i="2"/>
  <c r="AM383" i="2"/>
  <c r="AN383" i="2"/>
  <c r="P383" i="2"/>
  <c r="Q383" i="2"/>
  <c r="G383" i="2"/>
  <c r="J383" i="2"/>
  <c r="F383" i="2"/>
  <c r="I383" i="2"/>
  <c r="S383" i="2"/>
  <c r="M383" i="2"/>
  <c r="L383" i="2"/>
  <c r="K383" i="2"/>
  <c r="R383" i="2"/>
  <c r="T383" i="2"/>
  <c r="AO383" i="2"/>
  <c r="AX383" i="2"/>
  <c r="AW382" i="2"/>
  <c r="AZ382" i="2"/>
  <c r="AY383" i="2"/>
  <c r="BA383" i="2"/>
  <c r="AK384" i="2"/>
  <c r="AH384" i="2"/>
  <c r="Y384" i="2"/>
  <c r="Z384" i="2"/>
  <c r="AA384" i="2"/>
  <c r="AB384" i="2"/>
  <c r="X384" i="2"/>
  <c r="W384" i="2"/>
  <c r="AL384" i="2"/>
  <c r="AD384" i="2"/>
  <c r="AC384" i="2"/>
  <c r="AE384" i="2"/>
  <c r="AM384" i="2"/>
  <c r="AN384" i="2"/>
  <c r="P384" i="2"/>
  <c r="Q384" i="2"/>
  <c r="G384" i="2"/>
  <c r="J384" i="2"/>
  <c r="F384" i="2"/>
  <c r="I384" i="2"/>
  <c r="S384" i="2"/>
  <c r="M384" i="2"/>
  <c r="L384" i="2"/>
  <c r="K384" i="2"/>
  <c r="R384" i="2"/>
  <c r="T384" i="2"/>
  <c r="AO384" i="2"/>
  <c r="AX384" i="2"/>
  <c r="AW383" i="2"/>
  <c r="AZ383" i="2"/>
  <c r="AY384" i="2"/>
  <c r="BA384" i="2"/>
  <c r="AK385" i="2"/>
  <c r="AH385" i="2"/>
  <c r="Y385" i="2"/>
  <c r="Z385" i="2"/>
  <c r="AA385" i="2"/>
  <c r="AB385" i="2"/>
  <c r="X385" i="2"/>
  <c r="W385" i="2"/>
  <c r="AL385" i="2"/>
  <c r="AD385" i="2"/>
  <c r="AC385" i="2"/>
  <c r="AE385" i="2"/>
  <c r="AM385" i="2"/>
  <c r="AN385" i="2"/>
  <c r="P385" i="2"/>
  <c r="Q385" i="2"/>
  <c r="G385" i="2"/>
  <c r="J385" i="2"/>
  <c r="F385" i="2"/>
  <c r="I385" i="2"/>
  <c r="S385" i="2"/>
  <c r="M385" i="2"/>
  <c r="L385" i="2"/>
  <c r="K385" i="2"/>
  <c r="R385" i="2"/>
  <c r="T385" i="2"/>
  <c r="AO385" i="2"/>
  <c r="AX385" i="2"/>
  <c r="AW384" i="2"/>
  <c r="AZ384" i="2"/>
  <c r="AY385" i="2"/>
  <c r="BA385" i="2"/>
  <c r="AK386" i="2"/>
  <c r="AH386" i="2"/>
  <c r="Y386" i="2"/>
  <c r="Z386" i="2"/>
  <c r="AA386" i="2"/>
  <c r="AB386" i="2"/>
  <c r="X386" i="2"/>
  <c r="W386" i="2"/>
  <c r="AL386" i="2"/>
  <c r="AD386" i="2"/>
  <c r="AC386" i="2"/>
  <c r="AE386" i="2"/>
  <c r="AM386" i="2"/>
  <c r="AN386" i="2"/>
  <c r="P386" i="2"/>
  <c r="Q386" i="2"/>
  <c r="G386" i="2"/>
  <c r="J386" i="2"/>
  <c r="F386" i="2"/>
  <c r="I386" i="2"/>
  <c r="S386" i="2"/>
  <c r="M386" i="2"/>
  <c r="L386" i="2"/>
  <c r="K386" i="2"/>
  <c r="R386" i="2"/>
  <c r="T386" i="2"/>
  <c r="AO386" i="2"/>
  <c r="AX386" i="2"/>
  <c r="AW385" i="2"/>
  <c r="AZ385" i="2"/>
  <c r="AY386" i="2"/>
  <c r="BA386" i="2"/>
  <c r="AK387" i="2"/>
  <c r="AH387" i="2"/>
  <c r="Y387" i="2"/>
  <c r="Z387" i="2"/>
  <c r="AA387" i="2"/>
  <c r="AB387" i="2"/>
  <c r="X387" i="2"/>
  <c r="W387" i="2"/>
  <c r="AL387" i="2"/>
  <c r="AD387" i="2"/>
  <c r="AC387" i="2"/>
  <c r="AE387" i="2"/>
  <c r="AM387" i="2"/>
  <c r="AN387" i="2"/>
  <c r="P387" i="2"/>
  <c r="Q387" i="2"/>
  <c r="G387" i="2"/>
  <c r="J387" i="2"/>
  <c r="F387" i="2"/>
  <c r="I387" i="2"/>
  <c r="S387" i="2"/>
  <c r="M387" i="2"/>
  <c r="L387" i="2"/>
  <c r="K387" i="2"/>
  <c r="R387" i="2"/>
  <c r="T387" i="2"/>
  <c r="AO387" i="2"/>
  <c r="AX387" i="2"/>
  <c r="AW386" i="2"/>
  <c r="AZ386" i="2"/>
  <c r="AY387" i="2"/>
  <c r="BA387" i="2"/>
  <c r="AK388" i="2"/>
  <c r="AH388" i="2"/>
  <c r="Y388" i="2"/>
  <c r="Z388" i="2"/>
  <c r="AA388" i="2"/>
  <c r="AB388" i="2"/>
  <c r="X388" i="2"/>
  <c r="W388" i="2"/>
  <c r="AL388" i="2"/>
  <c r="AD388" i="2"/>
  <c r="AC388" i="2"/>
  <c r="AE388" i="2"/>
  <c r="AM388" i="2"/>
  <c r="AN388" i="2"/>
  <c r="P388" i="2"/>
  <c r="Q388" i="2"/>
  <c r="G388" i="2"/>
  <c r="J388" i="2"/>
  <c r="F388" i="2"/>
  <c r="I388" i="2"/>
  <c r="S388" i="2"/>
  <c r="M388" i="2"/>
  <c r="L388" i="2"/>
  <c r="K388" i="2"/>
  <c r="R388" i="2"/>
  <c r="T388" i="2"/>
  <c r="AO388" i="2"/>
  <c r="AX388" i="2"/>
  <c r="AW387" i="2"/>
  <c r="AZ387" i="2"/>
  <c r="AY388" i="2"/>
  <c r="BA388" i="2"/>
  <c r="AK389" i="2"/>
  <c r="AH389" i="2"/>
  <c r="Y389" i="2"/>
  <c r="Z389" i="2"/>
  <c r="AA389" i="2"/>
  <c r="AB389" i="2"/>
  <c r="X389" i="2"/>
  <c r="W389" i="2"/>
  <c r="AL389" i="2"/>
  <c r="AD389" i="2"/>
  <c r="AC389" i="2"/>
  <c r="AE389" i="2"/>
  <c r="AM389" i="2"/>
  <c r="AN389" i="2"/>
  <c r="P389" i="2"/>
  <c r="Q389" i="2"/>
  <c r="G389" i="2"/>
  <c r="J389" i="2"/>
  <c r="F389" i="2"/>
  <c r="I389" i="2"/>
  <c r="S389" i="2"/>
  <c r="M389" i="2"/>
  <c r="L389" i="2"/>
  <c r="K389" i="2"/>
  <c r="R389" i="2"/>
  <c r="T389" i="2"/>
  <c r="AO389" i="2"/>
  <c r="AX389" i="2"/>
  <c r="AW388" i="2"/>
  <c r="AZ388" i="2"/>
  <c r="AY389" i="2"/>
  <c r="BA389" i="2"/>
  <c r="AK390" i="2"/>
  <c r="AH390" i="2"/>
  <c r="Y390" i="2"/>
  <c r="Z390" i="2"/>
  <c r="AA390" i="2"/>
  <c r="AB390" i="2"/>
  <c r="X390" i="2"/>
  <c r="W390" i="2"/>
  <c r="AL390" i="2"/>
  <c r="AD390" i="2"/>
  <c r="AC390" i="2"/>
  <c r="AE390" i="2"/>
  <c r="AM390" i="2"/>
  <c r="AN390" i="2"/>
  <c r="P390" i="2"/>
  <c r="Q390" i="2"/>
  <c r="G390" i="2"/>
  <c r="J390" i="2"/>
  <c r="F390" i="2"/>
  <c r="I390" i="2"/>
  <c r="S390" i="2"/>
  <c r="M390" i="2"/>
  <c r="L390" i="2"/>
  <c r="K390" i="2"/>
  <c r="R390" i="2"/>
  <c r="T390" i="2"/>
  <c r="AO390" i="2"/>
  <c r="AX390" i="2"/>
  <c r="AW389" i="2"/>
  <c r="AZ389" i="2"/>
  <c r="AY390" i="2"/>
  <c r="BA390" i="2"/>
  <c r="AK391" i="2"/>
  <c r="AH391" i="2"/>
  <c r="Y391" i="2"/>
  <c r="Z391" i="2"/>
  <c r="AA391" i="2"/>
  <c r="AB391" i="2"/>
  <c r="X391" i="2"/>
  <c r="W391" i="2"/>
  <c r="AL391" i="2"/>
  <c r="AD391" i="2"/>
  <c r="AC391" i="2"/>
  <c r="AE391" i="2"/>
  <c r="AM391" i="2"/>
  <c r="AN391" i="2"/>
  <c r="P391" i="2"/>
  <c r="Q391" i="2"/>
  <c r="G391" i="2"/>
  <c r="J391" i="2"/>
  <c r="F391" i="2"/>
  <c r="I391" i="2"/>
  <c r="S391" i="2"/>
  <c r="M391" i="2"/>
  <c r="L391" i="2"/>
  <c r="K391" i="2"/>
  <c r="R391" i="2"/>
  <c r="T391" i="2"/>
  <c r="AO391" i="2"/>
  <c r="AX391" i="2"/>
  <c r="AW390" i="2"/>
  <c r="AZ390" i="2"/>
  <c r="AY391" i="2"/>
  <c r="BA391" i="2"/>
  <c r="AK392" i="2"/>
  <c r="AH392" i="2"/>
  <c r="Y392" i="2"/>
  <c r="Z392" i="2"/>
  <c r="AA392" i="2"/>
  <c r="AB392" i="2"/>
  <c r="X392" i="2"/>
  <c r="W392" i="2"/>
  <c r="AL392" i="2"/>
  <c r="AD392" i="2"/>
  <c r="AC392" i="2"/>
  <c r="AE392" i="2"/>
  <c r="AM392" i="2"/>
  <c r="AN392" i="2"/>
  <c r="P392" i="2"/>
  <c r="Q392" i="2"/>
  <c r="G392" i="2"/>
  <c r="J392" i="2"/>
  <c r="F392" i="2"/>
  <c r="I392" i="2"/>
  <c r="S392" i="2"/>
  <c r="M392" i="2"/>
  <c r="L392" i="2"/>
  <c r="K392" i="2"/>
  <c r="R392" i="2"/>
  <c r="T392" i="2"/>
  <c r="AO392" i="2"/>
  <c r="AX392" i="2"/>
  <c r="AW391" i="2"/>
  <c r="AZ391" i="2"/>
  <c r="AY392" i="2"/>
  <c r="BA392" i="2"/>
  <c r="AK393" i="2"/>
  <c r="AH393" i="2"/>
  <c r="Y393" i="2"/>
  <c r="Z393" i="2"/>
  <c r="AA393" i="2"/>
  <c r="AB393" i="2"/>
  <c r="X393" i="2"/>
  <c r="W393" i="2"/>
  <c r="AL393" i="2"/>
  <c r="AD393" i="2"/>
  <c r="AC393" i="2"/>
  <c r="AE393" i="2"/>
  <c r="AM393" i="2"/>
  <c r="AN393" i="2"/>
  <c r="P393" i="2"/>
  <c r="Q393" i="2"/>
  <c r="G393" i="2"/>
  <c r="J393" i="2"/>
  <c r="F393" i="2"/>
  <c r="I393" i="2"/>
  <c r="S393" i="2"/>
  <c r="M393" i="2"/>
  <c r="L393" i="2"/>
  <c r="K393" i="2"/>
  <c r="R393" i="2"/>
  <c r="T393" i="2"/>
  <c r="AO393" i="2"/>
  <c r="AX393" i="2"/>
  <c r="AW392" i="2"/>
  <c r="AZ392" i="2"/>
  <c r="AY393" i="2"/>
  <c r="BA393" i="2"/>
  <c r="AK394" i="2"/>
  <c r="AH394" i="2"/>
  <c r="Y394" i="2"/>
  <c r="Z394" i="2"/>
  <c r="AA394" i="2"/>
  <c r="AB394" i="2"/>
  <c r="X394" i="2"/>
  <c r="W394" i="2"/>
  <c r="AL394" i="2"/>
  <c r="AD394" i="2"/>
  <c r="AC394" i="2"/>
  <c r="AE394" i="2"/>
  <c r="AM394" i="2"/>
  <c r="AN394" i="2"/>
  <c r="P394" i="2"/>
  <c r="Q394" i="2"/>
  <c r="G394" i="2"/>
  <c r="J394" i="2"/>
  <c r="F394" i="2"/>
  <c r="I394" i="2"/>
  <c r="S394" i="2"/>
  <c r="M394" i="2"/>
  <c r="L394" i="2"/>
  <c r="K394" i="2"/>
  <c r="R394" i="2"/>
  <c r="T394" i="2"/>
  <c r="AO394" i="2"/>
  <c r="AX394" i="2"/>
  <c r="AW393" i="2"/>
  <c r="AZ393" i="2"/>
  <c r="AY394" i="2"/>
  <c r="BA394" i="2"/>
  <c r="AK395" i="2"/>
  <c r="AH395" i="2"/>
  <c r="Y395" i="2"/>
  <c r="Z395" i="2"/>
  <c r="AA395" i="2"/>
  <c r="AB395" i="2"/>
  <c r="X395" i="2"/>
  <c r="W395" i="2"/>
  <c r="AL395" i="2"/>
  <c r="AD395" i="2"/>
  <c r="AC395" i="2"/>
  <c r="AE395" i="2"/>
  <c r="AM395" i="2"/>
  <c r="AN395" i="2"/>
  <c r="P395" i="2"/>
  <c r="Q395" i="2"/>
  <c r="G395" i="2"/>
  <c r="J395" i="2"/>
  <c r="F395" i="2"/>
  <c r="I395" i="2"/>
  <c r="S395" i="2"/>
  <c r="M395" i="2"/>
  <c r="L395" i="2"/>
  <c r="K395" i="2"/>
  <c r="R395" i="2"/>
  <c r="T395" i="2"/>
  <c r="AO395" i="2"/>
  <c r="AX395" i="2"/>
  <c r="AW394" i="2"/>
  <c r="AZ394" i="2"/>
  <c r="AY395" i="2"/>
  <c r="BA395" i="2"/>
  <c r="AK396" i="2"/>
  <c r="AH396" i="2"/>
  <c r="Y396" i="2"/>
  <c r="Z396" i="2"/>
  <c r="AA396" i="2"/>
  <c r="AB396" i="2"/>
  <c r="X396" i="2"/>
  <c r="W396" i="2"/>
  <c r="AL396" i="2"/>
  <c r="AD396" i="2"/>
  <c r="AC396" i="2"/>
  <c r="AE396" i="2"/>
  <c r="AM396" i="2"/>
  <c r="AN396" i="2"/>
  <c r="P396" i="2"/>
  <c r="Q396" i="2"/>
  <c r="G396" i="2"/>
  <c r="J396" i="2"/>
  <c r="F396" i="2"/>
  <c r="I396" i="2"/>
  <c r="S396" i="2"/>
  <c r="M396" i="2"/>
  <c r="L396" i="2"/>
  <c r="K396" i="2"/>
  <c r="R396" i="2"/>
  <c r="T396" i="2"/>
  <c r="AO396" i="2"/>
  <c r="AX396" i="2"/>
  <c r="AW395" i="2"/>
  <c r="AZ395" i="2"/>
  <c r="AY396" i="2"/>
  <c r="BA396" i="2"/>
  <c r="AK397" i="2"/>
  <c r="AH397" i="2"/>
  <c r="Y397" i="2"/>
  <c r="Z397" i="2"/>
  <c r="AA397" i="2"/>
  <c r="AB397" i="2"/>
  <c r="X397" i="2"/>
  <c r="W397" i="2"/>
  <c r="AL397" i="2"/>
  <c r="AD397" i="2"/>
  <c r="AC397" i="2"/>
  <c r="AE397" i="2"/>
  <c r="AM397" i="2"/>
  <c r="AN397" i="2"/>
  <c r="P397" i="2"/>
  <c r="Q397" i="2"/>
  <c r="G397" i="2"/>
  <c r="J397" i="2"/>
  <c r="F397" i="2"/>
  <c r="I397" i="2"/>
  <c r="S397" i="2"/>
  <c r="M397" i="2"/>
  <c r="L397" i="2"/>
  <c r="K397" i="2"/>
  <c r="R397" i="2"/>
  <c r="T397" i="2"/>
  <c r="AO397" i="2"/>
  <c r="AX397" i="2"/>
  <c r="AW396" i="2"/>
  <c r="AZ396" i="2"/>
  <c r="AY397" i="2"/>
  <c r="BA397" i="2"/>
  <c r="AK398" i="2"/>
  <c r="AH398" i="2"/>
  <c r="Y398" i="2"/>
  <c r="Z398" i="2"/>
  <c r="AA398" i="2"/>
  <c r="AB398" i="2"/>
  <c r="X398" i="2"/>
  <c r="W398" i="2"/>
  <c r="AL398" i="2"/>
  <c r="AD398" i="2"/>
  <c r="AC398" i="2"/>
  <c r="AE398" i="2"/>
  <c r="AM398" i="2"/>
  <c r="AN398" i="2"/>
  <c r="P398" i="2"/>
  <c r="Q398" i="2"/>
  <c r="G398" i="2"/>
  <c r="J398" i="2"/>
  <c r="F398" i="2"/>
  <c r="I398" i="2"/>
  <c r="S398" i="2"/>
  <c r="M398" i="2"/>
  <c r="L398" i="2"/>
  <c r="K398" i="2"/>
  <c r="R398" i="2"/>
  <c r="T398" i="2"/>
  <c r="AO398" i="2"/>
  <c r="AX398" i="2"/>
  <c r="AW397" i="2"/>
  <c r="AZ397" i="2"/>
  <c r="AY398" i="2"/>
  <c r="BA398" i="2"/>
  <c r="AK399" i="2"/>
  <c r="AH399" i="2"/>
  <c r="Y399" i="2"/>
  <c r="Z399" i="2"/>
  <c r="AA399" i="2"/>
  <c r="AB399" i="2"/>
  <c r="X399" i="2"/>
  <c r="W399" i="2"/>
  <c r="AL399" i="2"/>
  <c r="AD399" i="2"/>
  <c r="AC399" i="2"/>
  <c r="AE399" i="2"/>
  <c r="AM399" i="2"/>
  <c r="AN399" i="2"/>
  <c r="P399" i="2"/>
  <c r="Q399" i="2"/>
  <c r="G399" i="2"/>
  <c r="J399" i="2"/>
  <c r="F399" i="2"/>
  <c r="I399" i="2"/>
  <c r="S399" i="2"/>
  <c r="M399" i="2"/>
  <c r="L399" i="2"/>
  <c r="K399" i="2"/>
  <c r="R399" i="2"/>
  <c r="T399" i="2"/>
  <c r="AO399" i="2"/>
  <c r="AX399" i="2"/>
  <c r="AW398" i="2"/>
  <c r="AZ398" i="2"/>
  <c r="AY399" i="2"/>
  <c r="BA399" i="2"/>
  <c r="AK400" i="2"/>
  <c r="AH400" i="2"/>
  <c r="Y400" i="2"/>
  <c r="Z400" i="2"/>
  <c r="AA400" i="2"/>
  <c r="AB400" i="2"/>
  <c r="X400" i="2"/>
  <c r="W400" i="2"/>
  <c r="AL400" i="2"/>
  <c r="AD400" i="2"/>
  <c r="AC400" i="2"/>
  <c r="AE400" i="2"/>
  <c r="AM400" i="2"/>
  <c r="AN400" i="2"/>
  <c r="P400" i="2"/>
  <c r="Q400" i="2"/>
  <c r="G400" i="2"/>
  <c r="J400" i="2"/>
  <c r="F400" i="2"/>
  <c r="I400" i="2"/>
  <c r="S400" i="2"/>
  <c r="M400" i="2"/>
  <c r="L400" i="2"/>
  <c r="K400" i="2"/>
  <c r="R400" i="2"/>
  <c r="T400" i="2"/>
  <c r="AO400" i="2"/>
  <c r="AX400" i="2"/>
  <c r="AW399" i="2"/>
  <c r="AZ399" i="2"/>
  <c r="AY400" i="2"/>
  <c r="BA400" i="2"/>
  <c r="AK401" i="2"/>
  <c r="AH401" i="2"/>
  <c r="Y401" i="2"/>
  <c r="Z401" i="2"/>
  <c r="AA401" i="2"/>
  <c r="AB401" i="2"/>
  <c r="X401" i="2"/>
  <c r="W401" i="2"/>
  <c r="AL401" i="2"/>
  <c r="AD401" i="2"/>
  <c r="AC401" i="2"/>
  <c r="AE401" i="2"/>
  <c r="AM401" i="2"/>
  <c r="AN401" i="2"/>
  <c r="P401" i="2"/>
  <c r="Q401" i="2"/>
  <c r="G401" i="2"/>
  <c r="J401" i="2"/>
  <c r="F401" i="2"/>
  <c r="I401" i="2"/>
  <c r="S401" i="2"/>
  <c r="M401" i="2"/>
  <c r="L401" i="2"/>
  <c r="K401" i="2"/>
  <c r="R401" i="2"/>
  <c r="T401" i="2"/>
  <c r="AO401" i="2"/>
  <c r="AX401" i="2"/>
  <c r="AW400" i="2"/>
  <c r="AZ400" i="2"/>
  <c r="AY401" i="2"/>
  <c r="BA401" i="2"/>
  <c r="AK402" i="2"/>
  <c r="AH402" i="2"/>
  <c r="Y402" i="2"/>
  <c r="Z402" i="2"/>
  <c r="AA402" i="2"/>
  <c r="AB402" i="2"/>
  <c r="X402" i="2"/>
  <c r="W402" i="2"/>
  <c r="AL402" i="2"/>
  <c r="AD402" i="2"/>
  <c r="AC402" i="2"/>
  <c r="AE402" i="2"/>
  <c r="AM402" i="2"/>
  <c r="AN402" i="2"/>
  <c r="P402" i="2"/>
  <c r="Q402" i="2"/>
  <c r="G402" i="2"/>
  <c r="J402" i="2"/>
  <c r="F402" i="2"/>
  <c r="I402" i="2"/>
  <c r="S402" i="2"/>
  <c r="M402" i="2"/>
  <c r="L402" i="2"/>
  <c r="K402" i="2"/>
  <c r="R402" i="2"/>
  <c r="T402" i="2"/>
  <c r="AO402" i="2"/>
  <c r="AX402" i="2"/>
  <c r="AW401" i="2"/>
  <c r="AZ401" i="2"/>
  <c r="AY402" i="2"/>
  <c r="BA402" i="2"/>
  <c r="AK403" i="2"/>
  <c r="AH403" i="2"/>
  <c r="Y403" i="2"/>
  <c r="Z403" i="2"/>
  <c r="AA403" i="2"/>
  <c r="AB403" i="2"/>
  <c r="X403" i="2"/>
  <c r="W403" i="2"/>
  <c r="AL403" i="2"/>
  <c r="AD403" i="2"/>
  <c r="AC403" i="2"/>
  <c r="AE403" i="2"/>
  <c r="AM403" i="2"/>
  <c r="AN403" i="2"/>
  <c r="P403" i="2"/>
  <c r="Q403" i="2"/>
  <c r="G403" i="2"/>
  <c r="J403" i="2"/>
  <c r="F403" i="2"/>
  <c r="I403" i="2"/>
  <c r="S403" i="2"/>
  <c r="M403" i="2"/>
  <c r="L403" i="2"/>
  <c r="K403" i="2"/>
  <c r="R403" i="2"/>
  <c r="T403" i="2"/>
  <c r="AO403" i="2"/>
  <c r="AX403" i="2"/>
  <c r="AW402" i="2"/>
  <c r="AZ402" i="2"/>
  <c r="AY403" i="2"/>
  <c r="BA403" i="2"/>
  <c r="AK404" i="2"/>
  <c r="AH404" i="2"/>
  <c r="Y404" i="2"/>
  <c r="Z404" i="2"/>
  <c r="AA404" i="2"/>
  <c r="AB404" i="2"/>
  <c r="X404" i="2"/>
  <c r="W404" i="2"/>
  <c r="AL404" i="2"/>
  <c r="AD404" i="2"/>
  <c r="AC404" i="2"/>
  <c r="AE404" i="2"/>
  <c r="AM404" i="2"/>
  <c r="AN404" i="2"/>
  <c r="P404" i="2"/>
  <c r="Q404" i="2"/>
  <c r="G404" i="2"/>
  <c r="J404" i="2"/>
  <c r="F404" i="2"/>
  <c r="I404" i="2"/>
  <c r="S404" i="2"/>
  <c r="M404" i="2"/>
  <c r="L404" i="2"/>
  <c r="K404" i="2"/>
  <c r="R404" i="2"/>
  <c r="T404" i="2"/>
  <c r="AO404" i="2"/>
  <c r="AX404" i="2"/>
  <c r="AW403" i="2"/>
  <c r="AZ403" i="2"/>
  <c r="AY404" i="2"/>
  <c r="BA404" i="2"/>
  <c r="AK405" i="2"/>
  <c r="AH405" i="2"/>
  <c r="Y405" i="2"/>
  <c r="Z405" i="2"/>
  <c r="AA405" i="2"/>
  <c r="AB405" i="2"/>
  <c r="X405" i="2"/>
  <c r="W405" i="2"/>
  <c r="AL405" i="2"/>
  <c r="AD405" i="2"/>
  <c r="AC405" i="2"/>
  <c r="AE405" i="2"/>
  <c r="AM405" i="2"/>
  <c r="AN405" i="2"/>
  <c r="P405" i="2"/>
  <c r="Q405" i="2"/>
  <c r="G405" i="2"/>
  <c r="J405" i="2"/>
  <c r="F405" i="2"/>
  <c r="I405" i="2"/>
  <c r="S405" i="2"/>
  <c r="M405" i="2"/>
  <c r="L405" i="2"/>
  <c r="K405" i="2"/>
  <c r="R405" i="2"/>
  <c r="T405" i="2"/>
  <c r="AO405" i="2"/>
  <c r="AX405" i="2"/>
  <c r="AW404" i="2"/>
  <c r="AZ404" i="2"/>
  <c r="AY405" i="2"/>
  <c r="BA405" i="2"/>
  <c r="AK406" i="2"/>
  <c r="AH406" i="2"/>
  <c r="Y406" i="2"/>
  <c r="Z406" i="2"/>
  <c r="AA406" i="2"/>
  <c r="AB406" i="2"/>
  <c r="X406" i="2"/>
  <c r="W406" i="2"/>
  <c r="AL406" i="2"/>
  <c r="AD406" i="2"/>
  <c r="AC406" i="2"/>
  <c r="AE406" i="2"/>
  <c r="AM406" i="2"/>
  <c r="AN406" i="2"/>
  <c r="P406" i="2"/>
  <c r="Q406" i="2"/>
  <c r="G406" i="2"/>
  <c r="J406" i="2"/>
  <c r="F406" i="2"/>
  <c r="I406" i="2"/>
  <c r="S406" i="2"/>
  <c r="M406" i="2"/>
  <c r="L406" i="2"/>
  <c r="K406" i="2"/>
  <c r="R406" i="2"/>
  <c r="T406" i="2"/>
  <c r="AO406" i="2"/>
  <c r="AX406" i="2"/>
  <c r="AW405" i="2"/>
  <c r="AZ405" i="2"/>
  <c r="AY406" i="2"/>
  <c r="BA406" i="2"/>
  <c r="AK407" i="2"/>
  <c r="AH407" i="2"/>
  <c r="Y407" i="2"/>
  <c r="Z407" i="2"/>
  <c r="AA407" i="2"/>
  <c r="AB407" i="2"/>
  <c r="X407" i="2"/>
  <c r="W407" i="2"/>
  <c r="AL407" i="2"/>
  <c r="AD407" i="2"/>
  <c r="AC407" i="2"/>
  <c r="AE407" i="2"/>
  <c r="AM407" i="2"/>
  <c r="AN407" i="2"/>
  <c r="P407" i="2"/>
  <c r="Q407" i="2"/>
  <c r="G407" i="2"/>
  <c r="J407" i="2"/>
  <c r="F407" i="2"/>
  <c r="I407" i="2"/>
  <c r="S407" i="2"/>
  <c r="M407" i="2"/>
  <c r="L407" i="2"/>
  <c r="K407" i="2"/>
  <c r="R407" i="2"/>
  <c r="T407" i="2"/>
  <c r="AO407" i="2"/>
  <c r="AX407" i="2"/>
  <c r="AW406" i="2"/>
  <c r="AZ406" i="2"/>
  <c r="AY407" i="2"/>
  <c r="BA407" i="2"/>
  <c r="AK408" i="2"/>
  <c r="AH408" i="2"/>
  <c r="Y408" i="2"/>
  <c r="Z408" i="2"/>
  <c r="AA408" i="2"/>
  <c r="AB408" i="2"/>
  <c r="X408" i="2"/>
  <c r="W408" i="2"/>
  <c r="AL408" i="2"/>
  <c r="AD408" i="2"/>
  <c r="AC408" i="2"/>
  <c r="AE408" i="2"/>
  <c r="AM408" i="2"/>
  <c r="AN408" i="2"/>
  <c r="P408" i="2"/>
  <c r="Q408" i="2"/>
  <c r="G408" i="2"/>
  <c r="J408" i="2"/>
  <c r="F408" i="2"/>
  <c r="I408" i="2"/>
  <c r="S408" i="2"/>
  <c r="M408" i="2"/>
  <c r="L408" i="2"/>
  <c r="K408" i="2"/>
  <c r="R408" i="2"/>
  <c r="T408" i="2"/>
  <c r="AO408" i="2"/>
  <c r="AX408" i="2"/>
  <c r="AW407" i="2"/>
  <c r="AZ407" i="2"/>
  <c r="AY408" i="2"/>
  <c r="BA408" i="2"/>
  <c r="AK409" i="2"/>
  <c r="AH409" i="2"/>
  <c r="Y409" i="2"/>
  <c r="Z409" i="2"/>
  <c r="AA409" i="2"/>
  <c r="AB409" i="2"/>
  <c r="X409" i="2"/>
  <c r="W409" i="2"/>
  <c r="AL409" i="2"/>
  <c r="AD409" i="2"/>
  <c r="AC409" i="2"/>
  <c r="AE409" i="2"/>
  <c r="AM409" i="2"/>
  <c r="AN409" i="2"/>
  <c r="P409" i="2"/>
  <c r="Q409" i="2"/>
  <c r="G409" i="2"/>
  <c r="J409" i="2"/>
  <c r="F409" i="2"/>
  <c r="I409" i="2"/>
  <c r="S409" i="2"/>
  <c r="M409" i="2"/>
  <c r="L409" i="2"/>
  <c r="K409" i="2"/>
  <c r="R409" i="2"/>
  <c r="T409" i="2"/>
  <c r="AO409" i="2"/>
  <c r="AX409" i="2"/>
  <c r="AW408" i="2"/>
  <c r="AZ408" i="2"/>
  <c r="AY409" i="2"/>
  <c r="BA409" i="2"/>
  <c r="AK410" i="2"/>
  <c r="AH410" i="2"/>
  <c r="Y410" i="2"/>
  <c r="Z410" i="2"/>
  <c r="AA410" i="2"/>
  <c r="AB410" i="2"/>
  <c r="X410" i="2"/>
  <c r="W410" i="2"/>
  <c r="AL410" i="2"/>
  <c r="AD410" i="2"/>
  <c r="AC410" i="2"/>
  <c r="AE410" i="2"/>
  <c r="AM410" i="2"/>
  <c r="AN410" i="2"/>
  <c r="P410" i="2"/>
  <c r="Q410" i="2"/>
  <c r="G410" i="2"/>
  <c r="J410" i="2"/>
  <c r="F410" i="2"/>
  <c r="I410" i="2"/>
  <c r="S410" i="2"/>
  <c r="M410" i="2"/>
  <c r="L410" i="2"/>
  <c r="K410" i="2"/>
  <c r="R410" i="2"/>
  <c r="T410" i="2"/>
  <c r="AO410" i="2"/>
  <c r="AX410" i="2"/>
  <c r="AW409" i="2"/>
  <c r="AZ409" i="2"/>
  <c r="AY410" i="2"/>
  <c r="BA410" i="2"/>
  <c r="AK411" i="2"/>
  <c r="AH411" i="2"/>
  <c r="Y411" i="2"/>
  <c r="Z411" i="2"/>
  <c r="AA411" i="2"/>
  <c r="AB411" i="2"/>
  <c r="X411" i="2"/>
  <c r="W411" i="2"/>
  <c r="AL411" i="2"/>
  <c r="AD411" i="2"/>
  <c r="AC411" i="2"/>
  <c r="AE411" i="2"/>
  <c r="AM411" i="2"/>
  <c r="AN411" i="2"/>
  <c r="P411" i="2"/>
  <c r="Q411" i="2"/>
  <c r="G411" i="2"/>
  <c r="J411" i="2"/>
  <c r="F411" i="2"/>
  <c r="I411" i="2"/>
  <c r="S411" i="2"/>
  <c r="M411" i="2"/>
  <c r="L411" i="2"/>
  <c r="K411" i="2"/>
  <c r="R411" i="2"/>
  <c r="T411" i="2"/>
  <c r="AO411" i="2"/>
  <c r="AX411" i="2"/>
  <c r="AW410" i="2"/>
  <c r="AZ410" i="2"/>
  <c r="AY411" i="2"/>
  <c r="BA411" i="2"/>
  <c r="AK412" i="2"/>
  <c r="AH412" i="2"/>
  <c r="Y412" i="2"/>
  <c r="Z412" i="2"/>
  <c r="AA412" i="2"/>
  <c r="AB412" i="2"/>
  <c r="X412" i="2"/>
  <c r="W412" i="2"/>
  <c r="AL412" i="2"/>
  <c r="AD412" i="2"/>
  <c r="AC412" i="2"/>
  <c r="AE412" i="2"/>
  <c r="AM412" i="2"/>
  <c r="AN412" i="2"/>
  <c r="P412" i="2"/>
  <c r="Q412" i="2"/>
  <c r="G412" i="2"/>
  <c r="J412" i="2"/>
  <c r="F412" i="2"/>
  <c r="I412" i="2"/>
  <c r="S412" i="2"/>
  <c r="M412" i="2"/>
  <c r="L412" i="2"/>
  <c r="K412" i="2"/>
  <c r="R412" i="2"/>
  <c r="T412" i="2"/>
  <c r="AO412" i="2"/>
  <c r="AX412" i="2"/>
  <c r="AW411" i="2"/>
  <c r="AZ411" i="2"/>
  <c r="AY412" i="2"/>
  <c r="BA412" i="2"/>
  <c r="AK413" i="2"/>
  <c r="AH413" i="2"/>
  <c r="Y413" i="2"/>
  <c r="Z413" i="2"/>
  <c r="AA413" i="2"/>
  <c r="AB413" i="2"/>
  <c r="X413" i="2"/>
  <c r="W413" i="2"/>
  <c r="AL413" i="2"/>
  <c r="AD413" i="2"/>
  <c r="AC413" i="2"/>
  <c r="AE413" i="2"/>
  <c r="AM413" i="2"/>
  <c r="AN413" i="2"/>
  <c r="P413" i="2"/>
  <c r="Q413" i="2"/>
  <c r="G413" i="2"/>
  <c r="J413" i="2"/>
  <c r="F413" i="2"/>
  <c r="I413" i="2"/>
  <c r="S413" i="2"/>
  <c r="M413" i="2"/>
  <c r="L413" i="2"/>
  <c r="K413" i="2"/>
  <c r="R413" i="2"/>
  <c r="T413" i="2"/>
  <c r="AO413" i="2"/>
  <c r="AX413" i="2"/>
  <c r="AW412" i="2"/>
  <c r="AZ412" i="2"/>
  <c r="AY413" i="2"/>
  <c r="BA413" i="2"/>
  <c r="AK414" i="2"/>
  <c r="AH414" i="2"/>
  <c r="Y414" i="2"/>
  <c r="Z414" i="2"/>
  <c r="AA414" i="2"/>
  <c r="AB414" i="2"/>
  <c r="X414" i="2"/>
  <c r="W414" i="2"/>
  <c r="AL414" i="2"/>
  <c r="AD414" i="2"/>
  <c r="AC414" i="2"/>
  <c r="AE414" i="2"/>
  <c r="AM414" i="2"/>
  <c r="AN414" i="2"/>
  <c r="P414" i="2"/>
  <c r="Q414" i="2"/>
  <c r="G414" i="2"/>
  <c r="J414" i="2"/>
  <c r="F414" i="2"/>
  <c r="I414" i="2"/>
  <c r="S414" i="2"/>
  <c r="M414" i="2"/>
  <c r="L414" i="2"/>
  <c r="K414" i="2"/>
  <c r="R414" i="2"/>
  <c r="T414" i="2"/>
  <c r="AO414" i="2"/>
  <c r="AX414" i="2"/>
  <c r="AW413" i="2"/>
  <c r="AZ413" i="2"/>
  <c r="AY414" i="2"/>
  <c r="BA414" i="2"/>
  <c r="AK415" i="2"/>
  <c r="AH415" i="2"/>
  <c r="Y415" i="2"/>
  <c r="Z415" i="2"/>
  <c r="AA415" i="2"/>
  <c r="AB415" i="2"/>
  <c r="X415" i="2"/>
  <c r="W415" i="2"/>
  <c r="AL415" i="2"/>
  <c r="AD415" i="2"/>
  <c r="AC415" i="2"/>
  <c r="AE415" i="2"/>
  <c r="AM415" i="2"/>
  <c r="AN415" i="2"/>
  <c r="P415" i="2"/>
  <c r="Q415" i="2"/>
  <c r="G415" i="2"/>
  <c r="J415" i="2"/>
  <c r="F415" i="2"/>
  <c r="I415" i="2"/>
  <c r="S415" i="2"/>
  <c r="M415" i="2"/>
  <c r="L415" i="2"/>
  <c r="K415" i="2"/>
  <c r="R415" i="2"/>
  <c r="T415" i="2"/>
  <c r="AO415" i="2"/>
  <c r="AX415" i="2"/>
  <c r="AW414" i="2"/>
  <c r="AZ414" i="2"/>
  <c r="AY415" i="2"/>
  <c r="BA415" i="2"/>
  <c r="AK416" i="2"/>
  <c r="AH416" i="2"/>
  <c r="Y416" i="2"/>
  <c r="Z416" i="2"/>
  <c r="AA416" i="2"/>
  <c r="AB416" i="2"/>
  <c r="X416" i="2"/>
  <c r="W416" i="2"/>
  <c r="AL416" i="2"/>
  <c r="AD416" i="2"/>
  <c r="AC416" i="2"/>
  <c r="AE416" i="2"/>
  <c r="AM416" i="2"/>
  <c r="AN416" i="2"/>
  <c r="P416" i="2"/>
  <c r="Q416" i="2"/>
  <c r="G416" i="2"/>
  <c r="J416" i="2"/>
  <c r="F416" i="2"/>
  <c r="I416" i="2"/>
  <c r="S416" i="2"/>
  <c r="M416" i="2"/>
  <c r="L416" i="2"/>
  <c r="K416" i="2"/>
  <c r="R416" i="2"/>
  <c r="T416" i="2"/>
  <c r="AO416" i="2"/>
  <c r="AX416" i="2"/>
  <c r="AW415" i="2"/>
  <c r="AZ415" i="2"/>
  <c r="AY416" i="2"/>
  <c r="BA416" i="2"/>
  <c r="AK417" i="2"/>
  <c r="AH417" i="2"/>
  <c r="Y417" i="2"/>
  <c r="Z417" i="2"/>
  <c r="AA417" i="2"/>
  <c r="AB417" i="2"/>
  <c r="X417" i="2"/>
  <c r="W417" i="2"/>
  <c r="AL417" i="2"/>
  <c r="AD417" i="2"/>
  <c r="AC417" i="2"/>
  <c r="AE417" i="2"/>
  <c r="AM417" i="2"/>
  <c r="AN417" i="2"/>
  <c r="P417" i="2"/>
  <c r="Q417" i="2"/>
  <c r="G417" i="2"/>
  <c r="J417" i="2"/>
  <c r="F417" i="2"/>
  <c r="I417" i="2"/>
  <c r="S417" i="2"/>
  <c r="M417" i="2"/>
  <c r="L417" i="2"/>
  <c r="K417" i="2"/>
  <c r="R417" i="2"/>
  <c r="T417" i="2"/>
  <c r="AO417" i="2"/>
  <c r="AX417" i="2"/>
  <c r="AW416" i="2"/>
  <c r="AZ416" i="2"/>
  <c r="AY417" i="2"/>
  <c r="BA417" i="2"/>
  <c r="AK418" i="2"/>
  <c r="AH418" i="2"/>
  <c r="Y418" i="2"/>
  <c r="Z418" i="2"/>
  <c r="AA418" i="2"/>
  <c r="AB418" i="2"/>
  <c r="X418" i="2"/>
  <c r="W418" i="2"/>
  <c r="AL418" i="2"/>
  <c r="AD418" i="2"/>
  <c r="AC418" i="2"/>
  <c r="AE418" i="2"/>
  <c r="AM418" i="2"/>
  <c r="AN418" i="2"/>
  <c r="P418" i="2"/>
  <c r="Q418" i="2"/>
  <c r="G418" i="2"/>
  <c r="J418" i="2"/>
  <c r="F418" i="2"/>
  <c r="I418" i="2"/>
  <c r="S418" i="2"/>
  <c r="M418" i="2"/>
  <c r="L418" i="2"/>
  <c r="K418" i="2"/>
  <c r="R418" i="2"/>
  <c r="T418" i="2"/>
  <c r="AO418" i="2"/>
  <c r="AX418" i="2"/>
  <c r="AW417" i="2"/>
  <c r="AZ417" i="2"/>
  <c r="AY418" i="2"/>
  <c r="BA418" i="2"/>
  <c r="AK419" i="2"/>
  <c r="AH419" i="2"/>
  <c r="Y419" i="2"/>
  <c r="Z419" i="2"/>
  <c r="AA419" i="2"/>
  <c r="AB419" i="2"/>
  <c r="X419" i="2"/>
  <c r="W419" i="2"/>
  <c r="AL419" i="2"/>
  <c r="AD419" i="2"/>
  <c r="AC419" i="2"/>
  <c r="AE419" i="2"/>
  <c r="AM419" i="2"/>
  <c r="AN419" i="2"/>
  <c r="P419" i="2"/>
  <c r="Q419" i="2"/>
  <c r="G419" i="2"/>
  <c r="J419" i="2"/>
  <c r="F419" i="2"/>
  <c r="I419" i="2"/>
  <c r="S419" i="2"/>
  <c r="M419" i="2"/>
  <c r="L419" i="2"/>
  <c r="K419" i="2"/>
  <c r="R419" i="2"/>
  <c r="T419" i="2"/>
  <c r="AO419" i="2"/>
  <c r="AX419" i="2"/>
  <c r="AW418" i="2"/>
  <c r="AZ418" i="2"/>
  <c r="AY419" i="2"/>
  <c r="BA419" i="2"/>
  <c r="AK420" i="2"/>
  <c r="AH420" i="2"/>
  <c r="Y420" i="2"/>
  <c r="Z420" i="2"/>
  <c r="AA420" i="2"/>
  <c r="AB420" i="2"/>
  <c r="X420" i="2"/>
  <c r="W420" i="2"/>
  <c r="AL420" i="2"/>
  <c r="AD420" i="2"/>
  <c r="AC420" i="2"/>
  <c r="AE420" i="2"/>
  <c r="AM420" i="2"/>
  <c r="AN420" i="2"/>
  <c r="P420" i="2"/>
  <c r="Q420" i="2"/>
  <c r="G420" i="2"/>
  <c r="J420" i="2"/>
  <c r="F420" i="2"/>
  <c r="I420" i="2"/>
  <c r="S420" i="2"/>
  <c r="M420" i="2"/>
  <c r="L420" i="2"/>
  <c r="K420" i="2"/>
  <c r="R420" i="2"/>
  <c r="T420" i="2"/>
  <c r="AO420" i="2"/>
  <c r="AX420" i="2"/>
  <c r="AW419" i="2"/>
  <c r="AZ419" i="2"/>
  <c r="AY420" i="2"/>
  <c r="BA420" i="2"/>
  <c r="AK421" i="2"/>
  <c r="AH421" i="2"/>
  <c r="Y421" i="2"/>
  <c r="Z421" i="2"/>
  <c r="AA421" i="2"/>
  <c r="AB421" i="2"/>
  <c r="X421" i="2"/>
  <c r="W421" i="2"/>
  <c r="AL421" i="2"/>
  <c r="AD421" i="2"/>
  <c r="AC421" i="2"/>
  <c r="AE421" i="2"/>
  <c r="AM421" i="2"/>
  <c r="AN421" i="2"/>
  <c r="P421" i="2"/>
  <c r="Q421" i="2"/>
  <c r="G421" i="2"/>
  <c r="J421" i="2"/>
  <c r="F421" i="2"/>
  <c r="I421" i="2"/>
  <c r="S421" i="2"/>
  <c r="M421" i="2"/>
  <c r="L421" i="2"/>
  <c r="K421" i="2"/>
  <c r="R421" i="2"/>
  <c r="T421" i="2"/>
  <c r="AO421" i="2"/>
  <c r="AX421" i="2"/>
  <c r="AW420" i="2"/>
  <c r="AZ420" i="2"/>
  <c r="AY421" i="2"/>
  <c r="BA421" i="2"/>
  <c r="AK422" i="2"/>
  <c r="AH422" i="2"/>
  <c r="Y422" i="2"/>
  <c r="Z422" i="2"/>
  <c r="AA422" i="2"/>
  <c r="AB422" i="2"/>
  <c r="X422" i="2"/>
  <c r="W422" i="2"/>
  <c r="AL422" i="2"/>
  <c r="AD422" i="2"/>
  <c r="AC422" i="2"/>
  <c r="AE422" i="2"/>
  <c r="AM422" i="2"/>
  <c r="AN422" i="2"/>
  <c r="P422" i="2"/>
  <c r="Q422" i="2"/>
  <c r="G422" i="2"/>
  <c r="J422" i="2"/>
  <c r="F422" i="2"/>
  <c r="I422" i="2"/>
  <c r="S422" i="2"/>
  <c r="M422" i="2"/>
  <c r="L422" i="2"/>
  <c r="K422" i="2"/>
  <c r="R422" i="2"/>
  <c r="T422" i="2"/>
  <c r="AO422" i="2"/>
  <c r="AX422" i="2"/>
  <c r="AW421" i="2"/>
  <c r="AZ421" i="2"/>
  <c r="AY422" i="2"/>
  <c r="BA422" i="2"/>
  <c r="AK423" i="2"/>
  <c r="AH423" i="2"/>
  <c r="Y423" i="2"/>
  <c r="Z423" i="2"/>
  <c r="AA423" i="2"/>
  <c r="AB423" i="2"/>
  <c r="X423" i="2"/>
  <c r="W423" i="2"/>
  <c r="AL423" i="2"/>
  <c r="AD423" i="2"/>
  <c r="AC423" i="2"/>
  <c r="AE423" i="2"/>
  <c r="AM423" i="2"/>
  <c r="AN423" i="2"/>
  <c r="P423" i="2"/>
  <c r="Q423" i="2"/>
  <c r="G423" i="2"/>
  <c r="J423" i="2"/>
  <c r="F423" i="2"/>
  <c r="I423" i="2"/>
  <c r="S423" i="2"/>
  <c r="M423" i="2"/>
  <c r="L423" i="2"/>
  <c r="K423" i="2"/>
  <c r="R423" i="2"/>
  <c r="T423" i="2"/>
  <c r="AO423" i="2"/>
  <c r="AX423" i="2"/>
  <c r="AW422" i="2"/>
  <c r="AZ422" i="2"/>
  <c r="AY423" i="2"/>
  <c r="BA423" i="2"/>
  <c r="AK424" i="2"/>
  <c r="AH424" i="2"/>
  <c r="Y424" i="2"/>
  <c r="Z424" i="2"/>
  <c r="AA424" i="2"/>
  <c r="AB424" i="2"/>
  <c r="X424" i="2"/>
  <c r="W424" i="2"/>
  <c r="AL424" i="2"/>
  <c r="AD424" i="2"/>
  <c r="AC424" i="2"/>
  <c r="AE424" i="2"/>
  <c r="AM424" i="2"/>
  <c r="AN424" i="2"/>
  <c r="P424" i="2"/>
  <c r="Q424" i="2"/>
  <c r="G424" i="2"/>
  <c r="J424" i="2"/>
  <c r="F424" i="2"/>
  <c r="I424" i="2"/>
  <c r="S424" i="2"/>
  <c r="M424" i="2"/>
  <c r="L424" i="2"/>
  <c r="K424" i="2"/>
  <c r="R424" i="2"/>
  <c r="T424" i="2"/>
  <c r="AO424" i="2"/>
  <c r="AX424" i="2"/>
  <c r="AW423" i="2"/>
  <c r="AZ423" i="2"/>
  <c r="AY424" i="2"/>
  <c r="BA424" i="2"/>
  <c r="AK425" i="2"/>
  <c r="AH425" i="2"/>
  <c r="Y425" i="2"/>
  <c r="Z425" i="2"/>
  <c r="AA425" i="2"/>
  <c r="AB425" i="2"/>
  <c r="X425" i="2"/>
  <c r="W425" i="2"/>
  <c r="AL425" i="2"/>
  <c r="AD425" i="2"/>
  <c r="AC425" i="2"/>
  <c r="AE425" i="2"/>
  <c r="AM425" i="2"/>
  <c r="AN425" i="2"/>
  <c r="P425" i="2"/>
  <c r="Q425" i="2"/>
  <c r="G425" i="2"/>
  <c r="J425" i="2"/>
  <c r="F425" i="2"/>
  <c r="I425" i="2"/>
  <c r="S425" i="2"/>
  <c r="M425" i="2"/>
  <c r="L425" i="2"/>
  <c r="K425" i="2"/>
  <c r="R425" i="2"/>
  <c r="T425" i="2"/>
  <c r="AO425" i="2"/>
  <c r="AX425" i="2"/>
  <c r="AW424" i="2"/>
  <c r="AZ424" i="2"/>
  <c r="AY425" i="2"/>
  <c r="BA425" i="2"/>
  <c r="AK426" i="2"/>
  <c r="AH426" i="2"/>
  <c r="Y426" i="2"/>
  <c r="Z426" i="2"/>
  <c r="AA426" i="2"/>
  <c r="AB426" i="2"/>
  <c r="X426" i="2"/>
  <c r="W426" i="2"/>
  <c r="AL426" i="2"/>
  <c r="AD426" i="2"/>
  <c r="AC426" i="2"/>
  <c r="AE426" i="2"/>
  <c r="AM426" i="2"/>
  <c r="AN426" i="2"/>
  <c r="P426" i="2"/>
  <c r="Q426" i="2"/>
  <c r="G426" i="2"/>
  <c r="J426" i="2"/>
  <c r="F426" i="2"/>
  <c r="I426" i="2"/>
  <c r="S426" i="2"/>
  <c r="M426" i="2"/>
  <c r="L426" i="2"/>
  <c r="K426" i="2"/>
  <c r="R426" i="2"/>
  <c r="T426" i="2"/>
  <c r="AO426" i="2"/>
  <c r="AX426" i="2"/>
  <c r="AW425" i="2"/>
  <c r="AZ425" i="2"/>
  <c r="AY426" i="2"/>
  <c r="BA426" i="2"/>
  <c r="AK427" i="2"/>
  <c r="AH427" i="2"/>
  <c r="Y427" i="2"/>
  <c r="Z427" i="2"/>
  <c r="AA427" i="2"/>
  <c r="AB427" i="2"/>
  <c r="X427" i="2"/>
  <c r="W427" i="2"/>
  <c r="AL427" i="2"/>
  <c r="AD427" i="2"/>
  <c r="AC427" i="2"/>
  <c r="AE427" i="2"/>
  <c r="AM427" i="2"/>
  <c r="AN427" i="2"/>
  <c r="P427" i="2"/>
  <c r="Q427" i="2"/>
  <c r="G427" i="2"/>
  <c r="J427" i="2"/>
  <c r="F427" i="2"/>
  <c r="I427" i="2"/>
  <c r="S427" i="2"/>
  <c r="M427" i="2"/>
  <c r="L427" i="2"/>
  <c r="K427" i="2"/>
  <c r="R427" i="2"/>
  <c r="T427" i="2"/>
  <c r="AO427" i="2"/>
  <c r="AX427" i="2"/>
  <c r="AW426" i="2"/>
  <c r="AZ426" i="2"/>
  <c r="AY427" i="2"/>
  <c r="BA427" i="2"/>
  <c r="AK428" i="2"/>
  <c r="AH428" i="2"/>
  <c r="Y428" i="2"/>
  <c r="Z428" i="2"/>
  <c r="AA428" i="2"/>
  <c r="AB428" i="2"/>
  <c r="X428" i="2"/>
  <c r="W428" i="2"/>
  <c r="AL428" i="2"/>
  <c r="AD428" i="2"/>
  <c r="AC428" i="2"/>
  <c r="AE428" i="2"/>
  <c r="AM428" i="2"/>
  <c r="AN428" i="2"/>
  <c r="P428" i="2"/>
  <c r="Q428" i="2"/>
  <c r="G428" i="2"/>
  <c r="J428" i="2"/>
  <c r="F428" i="2"/>
  <c r="I428" i="2"/>
  <c r="S428" i="2"/>
  <c r="M428" i="2"/>
  <c r="L428" i="2"/>
  <c r="K428" i="2"/>
  <c r="R428" i="2"/>
  <c r="T428" i="2"/>
  <c r="AO428" i="2"/>
  <c r="AX428" i="2"/>
  <c r="AW427" i="2"/>
  <c r="AZ427" i="2"/>
  <c r="AY428" i="2"/>
  <c r="BA428" i="2"/>
  <c r="AK429" i="2"/>
  <c r="AH429" i="2"/>
  <c r="Y429" i="2"/>
  <c r="Z429" i="2"/>
  <c r="AA429" i="2"/>
  <c r="AB429" i="2"/>
  <c r="X429" i="2"/>
  <c r="W429" i="2"/>
  <c r="AL429" i="2"/>
  <c r="AD429" i="2"/>
  <c r="AC429" i="2"/>
  <c r="AE429" i="2"/>
  <c r="AM429" i="2"/>
  <c r="AN429" i="2"/>
  <c r="P429" i="2"/>
  <c r="Q429" i="2"/>
  <c r="G429" i="2"/>
  <c r="J429" i="2"/>
  <c r="F429" i="2"/>
  <c r="I429" i="2"/>
  <c r="S429" i="2"/>
  <c r="M429" i="2"/>
  <c r="L429" i="2"/>
  <c r="K429" i="2"/>
  <c r="R429" i="2"/>
  <c r="T429" i="2"/>
  <c r="AO429" i="2"/>
  <c r="AX429" i="2"/>
  <c r="AW428" i="2"/>
  <c r="AZ428" i="2"/>
  <c r="AY429" i="2"/>
  <c r="BA429" i="2"/>
  <c r="AK430" i="2"/>
  <c r="AH430" i="2"/>
  <c r="Y430" i="2"/>
  <c r="Z430" i="2"/>
  <c r="AA430" i="2"/>
  <c r="AB430" i="2"/>
  <c r="X430" i="2"/>
  <c r="W430" i="2"/>
  <c r="AL430" i="2"/>
  <c r="AD430" i="2"/>
  <c r="AC430" i="2"/>
  <c r="AE430" i="2"/>
  <c r="AM430" i="2"/>
  <c r="AN430" i="2"/>
  <c r="P430" i="2"/>
  <c r="Q430" i="2"/>
  <c r="G430" i="2"/>
  <c r="J430" i="2"/>
  <c r="F430" i="2"/>
  <c r="I430" i="2"/>
  <c r="S430" i="2"/>
  <c r="M430" i="2"/>
  <c r="L430" i="2"/>
  <c r="K430" i="2"/>
  <c r="R430" i="2"/>
  <c r="T430" i="2"/>
  <c r="AO430" i="2"/>
  <c r="AX430" i="2"/>
  <c r="AW429" i="2"/>
  <c r="AZ429" i="2"/>
  <c r="AY430" i="2"/>
  <c r="BA430" i="2"/>
  <c r="AK431" i="2"/>
  <c r="AH431" i="2"/>
  <c r="Y431" i="2"/>
  <c r="Z431" i="2"/>
  <c r="AA431" i="2"/>
  <c r="AB431" i="2"/>
  <c r="X431" i="2"/>
  <c r="W431" i="2"/>
  <c r="AL431" i="2"/>
  <c r="AD431" i="2"/>
  <c r="AC431" i="2"/>
  <c r="AE431" i="2"/>
  <c r="AM431" i="2"/>
  <c r="AN431" i="2"/>
  <c r="P431" i="2"/>
  <c r="Q431" i="2"/>
  <c r="G431" i="2"/>
  <c r="J431" i="2"/>
  <c r="F431" i="2"/>
  <c r="I431" i="2"/>
  <c r="S431" i="2"/>
  <c r="M431" i="2"/>
  <c r="L431" i="2"/>
  <c r="K431" i="2"/>
  <c r="R431" i="2"/>
  <c r="T431" i="2"/>
  <c r="AO431" i="2"/>
  <c r="AX431" i="2"/>
  <c r="AW430" i="2"/>
  <c r="AZ430" i="2"/>
  <c r="AY431" i="2"/>
  <c r="BA431" i="2"/>
  <c r="AK432" i="2"/>
  <c r="AH432" i="2"/>
  <c r="Y432" i="2"/>
  <c r="Z432" i="2"/>
  <c r="AA432" i="2"/>
  <c r="AB432" i="2"/>
  <c r="X432" i="2"/>
  <c r="W432" i="2"/>
  <c r="AL432" i="2"/>
  <c r="AD432" i="2"/>
  <c r="AC432" i="2"/>
  <c r="AE432" i="2"/>
  <c r="AM432" i="2"/>
  <c r="AN432" i="2"/>
  <c r="P432" i="2"/>
  <c r="Q432" i="2"/>
  <c r="G432" i="2"/>
  <c r="J432" i="2"/>
  <c r="F432" i="2"/>
  <c r="I432" i="2"/>
  <c r="S432" i="2"/>
  <c r="M432" i="2"/>
  <c r="L432" i="2"/>
  <c r="K432" i="2"/>
  <c r="R432" i="2"/>
  <c r="T432" i="2"/>
  <c r="AO432" i="2"/>
  <c r="AX432" i="2"/>
  <c r="AW431" i="2"/>
  <c r="AZ431" i="2"/>
  <c r="AY432" i="2"/>
  <c r="BA432" i="2"/>
  <c r="AK433" i="2"/>
  <c r="AH433" i="2"/>
  <c r="Y433" i="2"/>
  <c r="Z433" i="2"/>
  <c r="AA433" i="2"/>
  <c r="AB433" i="2"/>
  <c r="X433" i="2"/>
  <c r="W433" i="2"/>
  <c r="AL433" i="2"/>
  <c r="AD433" i="2"/>
  <c r="AC433" i="2"/>
  <c r="AE433" i="2"/>
  <c r="AM433" i="2"/>
  <c r="AN433" i="2"/>
  <c r="P433" i="2"/>
  <c r="Q433" i="2"/>
  <c r="G433" i="2"/>
  <c r="J433" i="2"/>
  <c r="F433" i="2"/>
  <c r="I433" i="2"/>
  <c r="S433" i="2"/>
  <c r="M433" i="2"/>
  <c r="L433" i="2"/>
  <c r="K433" i="2"/>
  <c r="R433" i="2"/>
  <c r="T433" i="2"/>
  <c r="AO433" i="2"/>
  <c r="AX433" i="2"/>
  <c r="AW432" i="2"/>
  <c r="AZ432" i="2"/>
  <c r="AY433" i="2"/>
  <c r="BA433" i="2"/>
  <c r="AK434" i="2"/>
  <c r="AH434" i="2"/>
  <c r="Y434" i="2"/>
  <c r="Z434" i="2"/>
  <c r="AA434" i="2"/>
  <c r="AB434" i="2"/>
  <c r="X434" i="2"/>
  <c r="W434" i="2"/>
  <c r="AL434" i="2"/>
  <c r="AD434" i="2"/>
  <c r="AC434" i="2"/>
  <c r="AE434" i="2"/>
  <c r="AM434" i="2"/>
  <c r="AN434" i="2"/>
  <c r="P434" i="2"/>
  <c r="Q434" i="2"/>
  <c r="G434" i="2"/>
  <c r="J434" i="2"/>
  <c r="F434" i="2"/>
  <c r="I434" i="2"/>
  <c r="S434" i="2"/>
  <c r="M434" i="2"/>
  <c r="L434" i="2"/>
  <c r="K434" i="2"/>
  <c r="R434" i="2"/>
  <c r="T434" i="2"/>
  <c r="AO434" i="2"/>
  <c r="AX434" i="2"/>
  <c r="AW433" i="2"/>
  <c r="AZ433" i="2"/>
  <c r="AY434" i="2"/>
  <c r="BA434" i="2"/>
  <c r="AK435" i="2"/>
  <c r="AH435" i="2"/>
  <c r="Y435" i="2"/>
  <c r="Z435" i="2"/>
  <c r="AA435" i="2"/>
  <c r="AB435" i="2"/>
  <c r="X435" i="2"/>
  <c r="W435" i="2"/>
  <c r="AL435" i="2"/>
  <c r="AD435" i="2"/>
  <c r="AC435" i="2"/>
  <c r="AE435" i="2"/>
  <c r="AM435" i="2"/>
  <c r="AN435" i="2"/>
  <c r="P435" i="2"/>
  <c r="Q435" i="2"/>
  <c r="G435" i="2"/>
  <c r="J435" i="2"/>
  <c r="F435" i="2"/>
  <c r="I435" i="2"/>
  <c r="S435" i="2"/>
  <c r="M435" i="2"/>
  <c r="L435" i="2"/>
  <c r="K435" i="2"/>
  <c r="R435" i="2"/>
  <c r="T435" i="2"/>
  <c r="AO435" i="2"/>
  <c r="AX435" i="2"/>
  <c r="AW434" i="2"/>
  <c r="AZ434" i="2"/>
  <c r="AY435" i="2"/>
  <c r="BA435" i="2"/>
  <c r="AK436" i="2"/>
  <c r="AH436" i="2"/>
  <c r="Y436" i="2"/>
  <c r="Z436" i="2"/>
  <c r="AA436" i="2"/>
  <c r="AB436" i="2"/>
  <c r="X436" i="2"/>
  <c r="W436" i="2"/>
  <c r="AL436" i="2"/>
  <c r="AD436" i="2"/>
  <c r="AC436" i="2"/>
  <c r="AE436" i="2"/>
  <c r="AM436" i="2"/>
  <c r="AN436" i="2"/>
  <c r="P436" i="2"/>
  <c r="Q436" i="2"/>
  <c r="G436" i="2"/>
  <c r="J436" i="2"/>
  <c r="F436" i="2"/>
  <c r="I436" i="2"/>
  <c r="S436" i="2"/>
  <c r="M436" i="2"/>
  <c r="L436" i="2"/>
  <c r="K436" i="2"/>
  <c r="R436" i="2"/>
  <c r="T436" i="2"/>
  <c r="AO436" i="2"/>
  <c r="AX436" i="2"/>
  <c r="AW435" i="2"/>
  <c r="AZ435" i="2"/>
  <c r="AY436" i="2"/>
  <c r="BA436" i="2"/>
  <c r="AK437" i="2"/>
  <c r="AH437" i="2"/>
  <c r="Y437" i="2"/>
  <c r="Z437" i="2"/>
  <c r="AA437" i="2"/>
  <c r="AB437" i="2"/>
  <c r="X437" i="2"/>
  <c r="W437" i="2"/>
  <c r="AL437" i="2"/>
  <c r="AD437" i="2"/>
  <c r="AC437" i="2"/>
  <c r="AE437" i="2"/>
  <c r="AM437" i="2"/>
  <c r="AN437" i="2"/>
  <c r="P437" i="2"/>
  <c r="Q437" i="2"/>
  <c r="G437" i="2"/>
  <c r="J437" i="2"/>
  <c r="F437" i="2"/>
  <c r="I437" i="2"/>
  <c r="S437" i="2"/>
  <c r="M437" i="2"/>
  <c r="L437" i="2"/>
  <c r="K437" i="2"/>
  <c r="R437" i="2"/>
  <c r="T437" i="2"/>
  <c r="AO437" i="2"/>
  <c r="AX437" i="2"/>
  <c r="AW436" i="2"/>
  <c r="AZ436" i="2"/>
  <c r="AY437" i="2"/>
  <c r="BA437" i="2"/>
  <c r="AK438" i="2"/>
  <c r="AH438" i="2"/>
  <c r="Y438" i="2"/>
  <c r="Z438" i="2"/>
  <c r="AA438" i="2"/>
  <c r="AB438" i="2"/>
  <c r="X438" i="2"/>
  <c r="W438" i="2"/>
  <c r="AL438" i="2"/>
  <c r="AD438" i="2"/>
  <c r="AC438" i="2"/>
  <c r="AE438" i="2"/>
  <c r="AM438" i="2"/>
  <c r="AN438" i="2"/>
  <c r="P438" i="2"/>
  <c r="Q438" i="2"/>
  <c r="G438" i="2"/>
  <c r="J438" i="2"/>
  <c r="F438" i="2"/>
  <c r="I438" i="2"/>
  <c r="S438" i="2"/>
  <c r="M438" i="2"/>
  <c r="L438" i="2"/>
  <c r="K438" i="2"/>
  <c r="R438" i="2"/>
  <c r="T438" i="2"/>
  <c r="AO438" i="2"/>
  <c r="AX438" i="2"/>
  <c r="AW437" i="2"/>
  <c r="AZ437" i="2"/>
  <c r="AY438" i="2"/>
  <c r="BA438" i="2"/>
  <c r="AK439" i="2"/>
  <c r="AH439" i="2"/>
  <c r="Y439" i="2"/>
  <c r="Z439" i="2"/>
  <c r="AA439" i="2"/>
  <c r="AB439" i="2"/>
  <c r="X439" i="2"/>
  <c r="W439" i="2"/>
  <c r="AL439" i="2"/>
  <c r="AD439" i="2"/>
  <c r="AC439" i="2"/>
  <c r="AE439" i="2"/>
  <c r="AM439" i="2"/>
  <c r="AN439" i="2"/>
  <c r="P439" i="2"/>
  <c r="Q439" i="2"/>
  <c r="G439" i="2"/>
  <c r="J439" i="2"/>
  <c r="F439" i="2"/>
  <c r="I439" i="2"/>
  <c r="S439" i="2"/>
  <c r="M439" i="2"/>
  <c r="L439" i="2"/>
  <c r="K439" i="2"/>
  <c r="R439" i="2"/>
  <c r="T439" i="2"/>
  <c r="AO439" i="2"/>
  <c r="AX439" i="2"/>
  <c r="AW438" i="2"/>
  <c r="AZ438" i="2"/>
  <c r="AY439" i="2"/>
  <c r="BA439" i="2"/>
  <c r="AK440" i="2"/>
  <c r="AH440" i="2"/>
  <c r="Y440" i="2"/>
  <c r="Z440" i="2"/>
  <c r="AA440" i="2"/>
  <c r="AB440" i="2"/>
  <c r="X440" i="2"/>
  <c r="W440" i="2"/>
  <c r="AL440" i="2"/>
  <c r="AD440" i="2"/>
  <c r="AC440" i="2"/>
  <c r="AE440" i="2"/>
  <c r="AM440" i="2"/>
  <c r="AN440" i="2"/>
  <c r="P440" i="2"/>
  <c r="Q440" i="2"/>
  <c r="G440" i="2"/>
  <c r="J440" i="2"/>
  <c r="F440" i="2"/>
  <c r="I440" i="2"/>
  <c r="S440" i="2"/>
  <c r="M440" i="2"/>
  <c r="L440" i="2"/>
  <c r="K440" i="2"/>
  <c r="R440" i="2"/>
  <c r="T440" i="2"/>
  <c r="AO440" i="2"/>
  <c r="AX440" i="2"/>
  <c r="AW439" i="2"/>
  <c r="AZ439" i="2"/>
  <c r="AY440" i="2"/>
  <c r="BA440" i="2"/>
  <c r="AK441" i="2"/>
  <c r="AH441" i="2"/>
  <c r="Y441" i="2"/>
  <c r="Z441" i="2"/>
  <c r="AA441" i="2"/>
  <c r="AB441" i="2"/>
  <c r="X441" i="2"/>
  <c r="W441" i="2"/>
  <c r="AL441" i="2"/>
  <c r="AD441" i="2"/>
  <c r="AC441" i="2"/>
  <c r="AE441" i="2"/>
  <c r="AM441" i="2"/>
  <c r="AN441" i="2"/>
  <c r="P441" i="2"/>
  <c r="Q441" i="2"/>
  <c r="G441" i="2"/>
  <c r="J441" i="2"/>
  <c r="F441" i="2"/>
  <c r="I441" i="2"/>
  <c r="S441" i="2"/>
  <c r="M441" i="2"/>
  <c r="L441" i="2"/>
  <c r="K441" i="2"/>
  <c r="R441" i="2"/>
  <c r="T441" i="2"/>
  <c r="AO441" i="2"/>
  <c r="AX441" i="2"/>
  <c r="AW440" i="2"/>
  <c r="AZ440" i="2"/>
  <c r="AY441" i="2"/>
  <c r="BA441" i="2"/>
  <c r="AK442" i="2"/>
  <c r="AH442" i="2"/>
  <c r="Y442" i="2"/>
  <c r="Z442" i="2"/>
  <c r="AA442" i="2"/>
  <c r="AB442" i="2"/>
  <c r="X442" i="2"/>
  <c r="W442" i="2"/>
  <c r="AL442" i="2"/>
  <c r="AD442" i="2"/>
  <c r="AC442" i="2"/>
  <c r="AE442" i="2"/>
  <c r="AM442" i="2"/>
  <c r="AN442" i="2"/>
  <c r="P442" i="2"/>
  <c r="Q442" i="2"/>
  <c r="G442" i="2"/>
  <c r="J442" i="2"/>
  <c r="F442" i="2"/>
  <c r="I442" i="2"/>
  <c r="S442" i="2"/>
  <c r="M442" i="2"/>
  <c r="L442" i="2"/>
  <c r="K442" i="2"/>
  <c r="R442" i="2"/>
  <c r="T442" i="2"/>
  <c r="AO442" i="2"/>
  <c r="AX442" i="2"/>
  <c r="AW441" i="2"/>
  <c r="AZ441" i="2"/>
  <c r="AY442" i="2"/>
  <c r="BA442" i="2"/>
  <c r="AK443" i="2"/>
  <c r="AH443" i="2"/>
  <c r="Y443" i="2"/>
  <c r="Z443" i="2"/>
  <c r="AA443" i="2"/>
  <c r="AB443" i="2"/>
  <c r="X443" i="2"/>
  <c r="W443" i="2"/>
  <c r="AL443" i="2"/>
  <c r="AD443" i="2"/>
  <c r="AC443" i="2"/>
  <c r="AE443" i="2"/>
  <c r="AM443" i="2"/>
  <c r="AN443" i="2"/>
  <c r="P443" i="2"/>
  <c r="Q443" i="2"/>
  <c r="G443" i="2"/>
  <c r="J443" i="2"/>
  <c r="F443" i="2"/>
  <c r="I443" i="2"/>
  <c r="S443" i="2"/>
  <c r="M443" i="2"/>
  <c r="L443" i="2"/>
  <c r="K443" i="2"/>
  <c r="R443" i="2"/>
  <c r="T443" i="2"/>
  <c r="AO443" i="2"/>
  <c r="AX443" i="2"/>
  <c r="AW442" i="2"/>
  <c r="AZ442" i="2"/>
  <c r="AY443" i="2"/>
  <c r="BA443" i="2"/>
  <c r="AK444" i="2"/>
  <c r="AH444" i="2"/>
  <c r="Y444" i="2"/>
  <c r="Z444" i="2"/>
  <c r="AA444" i="2"/>
  <c r="AB444" i="2"/>
  <c r="X444" i="2"/>
  <c r="W444" i="2"/>
  <c r="AL444" i="2"/>
  <c r="AD444" i="2"/>
  <c r="AC444" i="2"/>
  <c r="AE444" i="2"/>
  <c r="AM444" i="2"/>
  <c r="AN444" i="2"/>
  <c r="P444" i="2"/>
  <c r="Q444" i="2"/>
  <c r="G444" i="2"/>
  <c r="J444" i="2"/>
  <c r="F444" i="2"/>
  <c r="I444" i="2"/>
  <c r="S444" i="2"/>
  <c r="M444" i="2"/>
  <c r="L444" i="2"/>
  <c r="K444" i="2"/>
  <c r="R444" i="2"/>
  <c r="T444" i="2"/>
  <c r="AO444" i="2"/>
  <c r="AX444" i="2"/>
  <c r="AW443" i="2"/>
  <c r="AZ443" i="2"/>
  <c r="AY444" i="2"/>
  <c r="BA444" i="2"/>
  <c r="AK445" i="2"/>
  <c r="AH445" i="2"/>
  <c r="Y445" i="2"/>
  <c r="Z445" i="2"/>
  <c r="AA445" i="2"/>
  <c r="AB445" i="2"/>
  <c r="X445" i="2"/>
  <c r="W445" i="2"/>
  <c r="AL445" i="2"/>
  <c r="AD445" i="2"/>
  <c r="AC445" i="2"/>
  <c r="AE445" i="2"/>
  <c r="AM445" i="2"/>
  <c r="AN445" i="2"/>
  <c r="P445" i="2"/>
  <c r="Q445" i="2"/>
  <c r="G445" i="2"/>
  <c r="J445" i="2"/>
  <c r="F445" i="2"/>
  <c r="I445" i="2"/>
  <c r="S445" i="2"/>
  <c r="M445" i="2"/>
  <c r="L445" i="2"/>
  <c r="K445" i="2"/>
  <c r="R445" i="2"/>
  <c r="T445" i="2"/>
  <c r="AO445" i="2"/>
  <c r="AX445" i="2"/>
  <c r="AW444" i="2"/>
  <c r="AZ444" i="2"/>
  <c r="AY445" i="2"/>
  <c r="BA445" i="2"/>
  <c r="AK446" i="2"/>
  <c r="AH446" i="2"/>
  <c r="Y446" i="2"/>
  <c r="Z446" i="2"/>
  <c r="AA446" i="2"/>
  <c r="AB446" i="2"/>
  <c r="X446" i="2"/>
  <c r="W446" i="2"/>
  <c r="AL446" i="2"/>
  <c r="AD446" i="2"/>
  <c r="AC446" i="2"/>
  <c r="AE446" i="2"/>
  <c r="AM446" i="2"/>
  <c r="AN446" i="2"/>
  <c r="P446" i="2"/>
  <c r="Q446" i="2"/>
  <c r="G446" i="2"/>
  <c r="J446" i="2"/>
  <c r="F446" i="2"/>
  <c r="I446" i="2"/>
  <c r="S446" i="2"/>
  <c r="M446" i="2"/>
  <c r="L446" i="2"/>
  <c r="K446" i="2"/>
  <c r="R446" i="2"/>
  <c r="T446" i="2"/>
  <c r="AO446" i="2"/>
  <c r="AX446" i="2"/>
  <c r="AW445" i="2"/>
  <c r="AZ445" i="2"/>
  <c r="AY446" i="2"/>
  <c r="BA446" i="2"/>
  <c r="AK447" i="2"/>
  <c r="AH447" i="2"/>
  <c r="Y447" i="2"/>
  <c r="Z447" i="2"/>
  <c r="AA447" i="2"/>
  <c r="AB447" i="2"/>
  <c r="X447" i="2"/>
  <c r="W447" i="2"/>
  <c r="AL447" i="2"/>
  <c r="AD447" i="2"/>
  <c r="AC447" i="2"/>
  <c r="AE447" i="2"/>
  <c r="AM447" i="2"/>
  <c r="AN447" i="2"/>
  <c r="P447" i="2"/>
  <c r="Q447" i="2"/>
  <c r="G447" i="2"/>
  <c r="J447" i="2"/>
  <c r="F447" i="2"/>
  <c r="I447" i="2"/>
  <c r="S447" i="2"/>
  <c r="M447" i="2"/>
  <c r="L447" i="2"/>
  <c r="K447" i="2"/>
  <c r="R447" i="2"/>
  <c r="T447" i="2"/>
  <c r="AO447" i="2"/>
  <c r="AX447" i="2"/>
  <c r="AW446" i="2"/>
  <c r="AZ446" i="2"/>
  <c r="AY447" i="2"/>
  <c r="BA447" i="2"/>
  <c r="AK448" i="2"/>
  <c r="AH448" i="2"/>
  <c r="Y448" i="2"/>
  <c r="Z448" i="2"/>
  <c r="AA448" i="2"/>
  <c r="AB448" i="2"/>
  <c r="X448" i="2"/>
  <c r="W448" i="2"/>
  <c r="AL448" i="2"/>
  <c r="AD448" i="2"/>
  <c r="AC448" i="2"/>
  <c r="AE448" i="2"/>
  <c r="AM448" i="2"/>
  <c r="AN448" i="2"/>
  <c r="P448" i="2"/>
  <c r="Q448" i="2"/>
  <c r="G448" i="2"/>
  <c r="J448" i="2"/>
  <c r="F448" i="2"/>
  <c r="I448" i="2"/>
  <c r="S448" i="2"/>
  <c r="M448" i="2"/>
  <c r="L448" i="2"/>
  <c r="K448" i="2"/>
  <c r="R448" i="2"/>
  <c r="T448" i="2"/>
  <c r="AO448" i="2"/>
  <c r="AX448" i="2"/>
  <c r="AW447" i="2"/>
  <c r="AZ447" i="2"/>
  <c r="AY448" i="2"/>
  <c r="BA448" i="2"/>
  <c r="AK449" i="2"/>
  <c r="AH449" i="2"/>
  <c r="Y449" i="2"/>
  <c r="Z449" i="2"/>
  <c r="AA449" i="2"/>
  <c r="AB449" i="2"/>
  <c r="X449" i="2"/>
  <c r="W449" i="2"/>
  <c r="AL449" i="2"/>
  <c r="AD449" i="2"/>
  <c r="AC449" i="2"/>
  <c r="AE449" i="2"/>
  <c r="AM449" i="2"/>
  <c r="AN449" i="2"/>
  <c r="P449" i="2"/>
  <c r="Q449" i="2"/>
  <c r="G449" i="2"/>
  <c r="J449" i="2"/>
  <c r="F449" i="2"/>
  <c r="I449" i="2"/>
  <c r="S449" i="2"/>
  <c r="M449" i="2"/>
  <c r="L449" i="2"/>
  <c r="K449" i="2"/>
  <c r="R449" i="2"/>
  <c r="T449" i="2"/>
  <c r="AO449" i="2"/>
  <c r="AX449" i="2"/>
  <c r="AW448" i="2"/>
  <c r="AZ448" i="2"/>
  <c r="AY449" i="2"/>
  <c r="BA449" i="2"/>
  <c r="AK450" i="2"/>
  <c r="AH450" i="2"/>
  <c r="Y450" i="2"/>
  <c r="Z450" i="2"/>
  <c r="AA450" i="2"/>
  <c r="AB450" i="2"/>
  <c r="X450" i="2"/>
  <c r="W450" i="2"/>
  <c r="AL450" i="2"/>
  <c r="AD450" i="2"/>
  <c r="AC450" i="2"/>
  <c r="AE450" i="2"/>
  <c r="AM450" i="2"/>
  <c r="AN450" i="2"/>
  <c r="P450" i="2"/>
  <c r="Q450" i="2"/>
  <c r="G450" i="2"/>
  <c r="J450" i="2"/>
  <c r="F450" i="2"/>
  <c r="I450" i="2"/>
  <c r="S450" i="2"/>
  <c r="M450" i="2"/>
  <c r="L450" i="2"/>
  <c r="K450" i="2"/>
  <c r="R450" i="2"/>
  <c r="T450" i="2"/>
  <c r="AO450" i="2"/>
  <c r="AX450" i="2"/>
  <c r="AW449" i="2"/>
  <c r="AZ449" i="2"/>
  <c r="AY450" i="2"/>
  <c r="BA450" i="2"/>
  <c r="AK451" i="2"/>
  <c r="AH451" i="2"/>
  <c r="Y451" i="2"/>
  <c r="Z451" i="2"/>
  <c r="AA451" i="2"/>
  <c r="AB451" i="2"/>
  <c r="X451" i="2"/>
  <c r="W451" i="2"/>
  <c r="AL451" i="2"/>
  <c r="AD451" i="2"/>
  <c r="AC451" i="2"/>
  <c r="AE451" i="2"/>
  <c r="AM451" i="2"/>
  <c r="AN451" i="2"/>
  <c r="P451" i="2"/>
  <c r="Q451" i="2"/>
  <c r="G451" i="2"/>
  <c r="J451" i="2"/>
  <c r="F451" i="2"/>
  <c r="I451" i="2"/>
  <c r="S451" i="2"/>
  <c r="M451" i="2"/>
  <c r="L451" i="2"/>
  <c r="K451" i="2"/>
  <c r="R451" i="2"/>
  <c r="T451" i="2"/>
  <c r="AO451" i="2"/>
  <c r="AX451" i="2"/>
  <c r="AW450" i="2"/>
  <c r="AZ450" i="2"/>
  <c r="AY451" i="2"/>
  <c r="BA451" i="2"/>
  <c r="AK452" i="2"/>
  <c r="AH452" i="2"/>
  <c r="Y452" i="2"/>
  <c r="Z452" i="2"/>
  <c r="AA452" i="2"/>
  <c r="AB452" i="2"/>
  <c r="X452" i="2"/>
  <c r="W452" i="2"/>
  <c r="AL452" i="2"/>
  <c r="AD452" i="2"/>
  <c r="AC452" i="2"/>
  <c r="AE452" i="2"/>
  <c r="AM452" i="2"/>
  <c r="AN452" i="2"/>
  <c r="P452" i="2"/>
  <c r="Q452" i="2"/>
  <c r="G452" i="2"/>
  <c r="J452" i="2"/>
  <c r="F452" i="2"/>
  <c r="I452" i="2"/>
  <c r="S452" i="2"/>
  <c r="M452" i="2"/>
  <c r="L452" i="2"/>
  <c r="K452" i="2"/>
  <c r="R452" i="2"/>
  <c r="T452" i="2"/>
  <c r="AO452" i="2"/>
  <c r="AX452" i="2"/>
  <c r="AW451" i="2"/>
  <c r="AZ451" i="2"/>
  <c r="AY452" i="2"/>
  <c r="BA452" i="2"/>
  <c r="AK453" i="2"/>
  <c r="AH453" i="2"/>
  <c r="Y453" i="2"/>
  <c r="Z453" i="2"/>
  <c r="AA453" i="2"/>
  <c r="AB453" i="2"/>
  <c r="X453" i="2"/>
  <c r="W453" i="2"/>
  <c r="AL453" i="2"/>
  <c r="AD453" i="2"/>
  <c r="AC453" i="2"/>
  <c r="AE453" i="2"/>
  <c r="AM453" i="2"/>
  <c r="AN453" i="2"/>
  <c r="P453" i="2"/>
  <c r="Q453" i="2"/>
  <c r="G453" i="2"/>
  <c r="J453" i="2"/>
  <c r="F453" i="2"/>
  <c r="I453" i="2"/>
  <c r="S453" i="2"/>
  <c r="M453" i="2"/>
  <c r="L453" i="2"/>
  <c r="K453" i="2"/>
  <c r="R453" i="2"/>
  <c r="T453" i="2"/>
  <c r="AO453" i="2"/>
  <c r="AX453" i="2"/>
  <c r="AW452" i="2"/>
  <c r="AZ452" i="2"/>
  <c r="AY453" i="2"/>
  <c r="BA453" i="2"/>
  <c r="AK454" i="2"/>
  <c r="AH454" i="2"/>
  <c r="Y454" i="2"/>
  <c r="Z454" i="2"/>
  <c r="AA454" i="2"/>
  <c r="AB454" i="2"/>
  <c r="X454" i="2"/>
  <c r="W454" i="2"/>
  <c r="AL454" i="2"/>
  <c r="AD454" i="2"/>
  <c r="AC454" i="2"/>
  <c r="AE454" i="2"/>
  <c r="AM454" i="2"/>
  <c r="AN454" i="2"/>
  <c r="P454" i="2"/>
  <c r="Q454" i="2"/>
  <c r="G454" i="2"/>
  <c r="J454" i="2"/>
  <c r="F454" i="2"/>
  <c r="I454" i="2"/>
  <c r="S454" i="2"/>
  <c r="M454" i="2"/>
  <c r="L454" i="2"/>
  <c r="K454" i="2"/>
  <c r="R454" i="2"/>
  <c r="T454" i="2"/>
  <c r="AO454" i="2"/>
  <c r="AX454" i="2"/>
  <c r="AW453" i="2"/>
  <c r="AZ453" i="2"/>
  <c r="AY454" i="2"/>
  <c r="BA454" i="2"/>
  <c r="AK455" i="2"/>
  <c r="AH455" i="2"/>
  <c r="Y455" i="2"/>
  <c r="Z455" i="2"/>
  <c r="AA455" i="2"/>
  <c r="AB455" i="2"/>
  <c r="X455" i="2"/>
  <c r="W455" i="2"/>
  <c r="AL455" i="2"/>
  <c r="AD455" i="2"/>
  <c r="AC455" i="2"/>
  <c r="AE455" i="2"/>
  <c r="AM455" i="2"/>
  <c r="AN455" i="2"/>
  <c r="P455" i="2"/>
  <c r="Q455" i="2"/>
  <c r="G455" i="2"/>
  <c r="J455" i="2"/>
  <c r="F455" i="2"/>
  <c r="I455" i="2"/>
  <c r="S455" i="2"/>
  <c r="M455" i="2"/>
  <c r="L455" i="2"/>
  <c r="K455" i="2"/>
  <c r="R455" i="2"/>
  <c r="T455" i="2"/>
  <c r="AO455" i="2"/>
  <c r="AX455" i="2"/>
  <c r="AW454" i="2"/>
  <c r="AZ454" i="2"/>
  <c r="AY455" i="2"/>
  <c r="BA455" i="2"/>
  <c r="AK456" i="2"/>
  <c r="AH456" i="2"/>
  <c r="Y456" i="2"/>
  <c r="Z456" i="2"/>
  <c r="AA456" i="2"/>
  <c r="AB456" i="2"/>
  <c r="X456" i="2"/>
  <c r="W456" i="2"/>
  <c r="AL456" i="2"/>
  <c r="AD456" i="2"/>
  <c r="AC456" i="2"/>
  <c r="AE456" i="2"/>
  <c r="AM456" i="2"/>
  <c r="AN456" i="2"/>
  <c r="P456" i="2"/>
  <c r="Q456" i="2"/>
  <c r="G456" i="2"/>
  <c r="J456" i="2"/>
  <c r="F456" i="2"/>
  <c r="I456" i="2"/>
  <c r="S456" i="2"/>
  <c r="M456" i="2"/>
  <c r="L456" i="2"/>
  <c r="K456" i="2"/>
  <c r="R456" i="2"/>
  <c r="T456" i="2"/>
  <c r="AO456" i="2"/>
  <c r="AX456" i="2"/>
  <c r="AW455" i="2"/>
  <c r="AZ455" i="2"/>
  <c r="AY456" i="2"/>
  <c r="BA456" i="2"/>
  <c r="AK457" i="2"/>
  <c r="AH457" i="2"/>
  <c r="Y457" i="2"/>
  <c r="Z457" i="2"/>
  <c r="AA457" i="2"/>
  <c r="AB457" i="2"/>
  <c r="X457" i="2"/>
  <c r="W457" i="2"/>
  <c r="AL457" i="2"/>
  <c r="AD457" i="2"/>
  <c r="AC457" i="2"/>
  <c r="AE457" i="2"/>
  <c r="AM457" i="2"/>
  <c r="AN457" i="2"/>
  <c r="P457" i="2"/>
  <c r="Q457" i="2"/>
  <c r="G457" i="2"/>
  <c r="J457" i="2"/>
  <c r="F457" i="2"/>
  <c r="I457" i="2"/>
  <c r="S457" i="2"/>
  <c r="M457" i="2"/>
  <c r="L457" i="2"/>
  <c r="K457" i="2"/>
  <c r="R457" i="2"/>
  <c r="T457" i="2"/>
  <c r="AO457" i="2"/>
  <c r="AX457" i="2"/>
  <c r="AW456" i="2"/>
  <c r="AZ456" i="2"/>
  <c r="AY457" i="2"/>
  <c r="BA457" i="2"/>
  <c r="AK458" i="2"/>
  <c r="AH458" i="2"/>
  <c r="Y458" i="2"/>
  <c r="Z458" i="2"/>
  <c r="AA458" i="2"/>
  <c r="AB458" i="2"/>
  <c r="X458" i="2"/>
  <c r="W458" i="2"/>
  <c r="AL458" i="2"/>
  <c r="AD458" i="2"/>
  <c r="AC458" i="2"/>
  <c r="AE458" i="2"/>
  <c r="AM458" i="2"/>
  <c r="AN458" i="2"/>
  <c r="P458" i="2"/>
  <c r="Q458" i="2"/>
  <c r="G458" i="2"/>
  <c r="J458" i="2"/>
  <c r="F458" i="2"/>
  <c r="I458" i="2"/>
  <c r="S458" i="2"/>
  <c r="M458" i="2"/>
  <c r="L458" i="2"/>
  <c r="K458" i="2"/>
  <c r="R458" i="2"/>
  <c r="T458" i="2"/>
  <c r="AO458" i="2"/>
  <c r="AX458" i="2"/>
  <c r="AW457" i="2"/>
  <c r="AZ457" i="2"/>
  <c r="AY458" i="2"/>
  <c r="BA458" i="2"/>
  <c r="AK459" i="2"/>
  <c r="AH459" i="2"/>
  <c r="Y459" i="2"/>
  <c r="Z459" i="2"/>
  <c r="AA459" i="2"/>
  <c r="AB459" i="2"/>
  <c r="X459" i="2"/>
  <c r="W459" i="2"/>
  <c r="AL459" i="2"/>
  <c r="AD459" i="2"/>
  <c r="AC459" i="2"/>
  <c r="AE459" i="2"/>
  <c r="AM459" i="2"/>
  <c r="AN459" i="2"/>
  <c r="P459" i="2"/>
  <c r="Q459" i="2"/>
  <c r="G459" i="2"/>
  <c r="J459" i="2"/>
  <c r="F459" i="2"/>
  <c r="I459" i="2"/>
  <c r="S459" i="2"/>
  <c r="M459" i="2"/>
  <c r="L459" i="2"/>
  <c r="K459" i="2"/>
  <c r="R459" i="2"/>
  <c r="T459" i="2"/>
  <c r="AO459" i="2"/>
  <c r="AX459" i="2"/>
  <c r="AW458" i="2"/>
  <c r="AZ458" i="2"/>
  <c r="AY459" i="2"/>
  <c r="BA459" i="2"/>
  <c r="AK460" i="2"/>
  <c r="AH460" i="2"/>
  <c r="Y460" i="2"/>
  <c r="Z460" i="2"/>
  <c r="AA460" i="2"/>
  <c r="AB460" i="2"/>
  <c r="X460" i="2"/>
  <c r="W460" i="2"/>
  <c r="AL460" i="2"/>
  <c r="AD460" i="2"/>
  <c r="AC460" i="2"/>
  <c r="AE460" i="2"/>
  <c r="AM460" i="2"/>
  <c r="AN460" i="2"/>
  <c r="P460" i="2"/>
  <c r="Q460" i="2"/>
  <c r="G460" i="2"/>
  <c r="J460" i="2"/>
  <c r="F460" i="2"/>
  <c r="I460" i="2"/>
  <c r="S460" i="2"/>
  <c r="M460" i="2"/>
  <c r="L460" i="2"/>
  <c r="K460" i="2"/>
  <c r="R460" i="2"/>
  <c r="T460" i="2"/>
  <c r="AO460" i="2"/>
  <c r="AX460" i="2"/>
  <c r="AW459" i="2"/>
  <c r="AZ459" i="2"/>
  <c r="AY460" i="2"/>
  <c r="BA460" i="2"/>
  <c r="AK461" i="2"/>
  <c r="AH461" i="2"/>
  <c r="Y461" i="2"/>
  <c r="Z461" i="2"/>
  <c r="AA461" i="2"/>
  <c r="AB461" i="2"/>
  <c r="X461" i="2"/>
  <c r="W461" i="2"/>
  <c r="AL461" i="2"/>
  <c r="AD461" i="2"/>
  <c r="AC461" i="2"/>
  <c r="AE461" i="2"/>
  <c r="AM461" i="2"/>
  <c r="AN461" i="2"/>
  <c r="P461" i="2"/>
  <c r="Q461" i="2"/>
  <c r="G461" i="2"/>
  <c r="J461" i="2"/>
  <c r="F461" i="2"/>
  <c r="I461" i="2"/>
  <c r="S461" i="2"/>
  <c r="M461" i="2"/>
  <c r="L461" i="2"/>
  <c r="K461" i="2"/>
  <c r="R461" i="2"/>
  <c r="T461" i="2"/>
  <c r="AO461" i="2"/>
  <c r="AX461" i="2"/>
  <c r="AW460" i="2"/>
  <c r="AZ460" i="2"/>
  <c r="AY461" i="2"/>
  <c r="BA461" i="2"/>
  <c r="AK462" i="2"/>
  <c r="AH462" i="2"/>
  <c r="Y462" i="2"/>
  <c r="Z462" i="2"/>
  <c r="AA462" i="2"/>
  <c r="AB462" i="2"/>
  <c r="X462" i="2"/>
  <c r="W462" i="2"/>
  <c r="AL462" i="2"/>
  <c r="AD462" i="2"/>
  <c r="AC462" i="2"/>
  <c r="AE462" i="2"/>
  <c r="AM462" i="2"/>
  <c r="AN462" i="2"/>
  <c r="P462" i="2"/>
  <c r="Q462" i="2"/>
  <c r="G462" i="2"/>
  <c r="J462" i="2"/>
  <c r="F462" i="2"/>
  <c r="I462" i="2"/>
  <c r="S462" i="2"/>
  <c r="M462" i="2"/>
  <c r="L462" i="2"/>
  <c r="K462" i="2"/>
  <c r="R462" i="2"/>
  <c r="T462" i="2"/>
  <c r="AO462" i="2"/>
  <c r="AX462" i="2"/>
  <c r="AW461" i="2"/>
  <c r="AZ461" i="2"/>
  <c r="AY462" i="2"/>
  <c r="BA462" i="2"/>
  <c r="AK463" i="2"/>
  <c r="AH463" i="2"/>
  <c r="Y463" i="2"/>
  <c r="Z463" i="2"/>
  <c r="AA463" i="2"/>
  <c r="AB463" i="2"/>
  <c r="X463" i="2"/>
  <c r="W463" i="2"/>
  <c r="AL463" i="2"/>
  <c r="AD463" i="2"/>
  <c r="AC463" i="2"/>
  <c r="AE463" i="2"/>
  <c r="AM463" i="2"/>
  <c r="AN463" i="2"/>
  <c r="P463" i="2"/>
  <c r="Q463" i="2"/>
  <c r="G463" i="2"/>
  <c r="J463" i="2"/>
  <c r="F463" i="2"/>
  <c r="I463" i="2"/>
  <c r="S463" i="2"/>
  <c r="M463" i="2"/>
  <c r="L463" i="2"/>
  <c r="K463" i="2"/>
  <c r="R463" i="2"/>
  <c r="T463" i="2"/>
  <c r="AO463" i="2"/>
  <c r="AX463" i="2"/>
  <c r="AW462" i="2"/>
  <c r="AZ462" i="2"/>
  <c r="AY463" i="2"/>
  <c r="BA463" i="2"/>
  <c r="AK464" i="2"/>
  <c r="AH464" i="2"/>
  <c r="Y464" i="2"/>
  <c r="Z464" i="2"/>
  <c r="AA464" i="2"/>
  <c r="AB464" i="2"/>
  <c r="X464" i="2"/>
  <c r="W464" i="2"/>
  <c r="AL464" i="2"/>
  <c r="AD464" i="2"/>
  <c r="AC464" i="2"/>
  <c r="AE464" i="2"/>
  <c r="AM464" i="2"/>
  <c r="AN464" i="2"/>
  <c r="P464" i="2"/>
  <c r="Q464" i="2"/>
  <c r="G464" i="2"/>
  <c r="J464" i="2"/>
  <c r="F464" i="2"/>
  <c r="I464" i="2"/>
  <c r="S464" i="2"/>
  <c r="M464" i="2"/>
  <c r="L464" i="2"/>
  <c r="K464" i="2"/>
  <c r="R464" i="2"/>
  <c r="T464" i="2"/>
  <c r="AO464" i="2"/>
  <c r="AX464" i="2"/>
  <c r="AW463" i="2"/>
  <c r="AZ463" i="2"/>
  <c r="AY464" i="2"/>
  <c r="BA464" i="2"/>
  <c r="AK465" i="2"/>
  <c r="AH465" i="2"/>
  <c r="Y465" i="2"/>
  <c r="Z465" i="2"/>
  <c r="AA465" i="2"/>
  <c r="AB465" i="2"/>
  <c r="X465" i="2"/>
  <c r="W465" i="2"/>
  <c r="AL465" i="2"/>
  <c r="AD465" i="2"/>
  <c r="AC465" i="2"/>
  <c r="AE465" i="2"/>
  <c r="AM465" i="2"/>
  <c r="AN465" i="2"/>
  <c r="P465" i="2"/>
  <c r="Q465" i="2"/>
  <c r="G465" i="2"/>
  <c r="J465" i="2"/>
  <c r="F465" i="2"/>
  <c r="I465" i="2"/>
  <c r="S465" i="2"/>
  <c r="M465" i="2"/>
  <c r="L465" i="2"/>
  <c r="K465" i="2"/>
  <c r="R465" i="2"/>
  <c r="T465" i="2"/>
  <c r="AO465" i="2"/>
  <c r="AX465" i="2"/>
  <c r="AW464" i="2"/>
  <c r="AZ464" i="2"/>
  <c r="AY465" i="2"/>
  <c r="BA465" i="2"/>
  <c r="AK466" i="2"/>
  <c r="AH466" i="2"/>
  <c r="Y466" i="2"/>
  <c r="Z466" i="2"/>
  <c r="AA466" i="2"/>
  <c r="AB466" i="2"/>
  <c r="X466" i="2"/>
  <c r="W466" i="2"/>
  <c r="AL466" i="2"/>
  <c r="AD466" i="2"/>
  <c r="AC466" i="2"/>
  <c r="AE466" i="2"/>
  <c r="AM466" i="2"/>
  <c r="AN466" i="2"/>
  <c r="P466" i="2"/>
  <c r="Q466" i="2"/>
  <c r="G466" i="2"/>
  <c r="J466" i="2"/>
  <c r="F466" i="2"/>
  <c r="I466" i="2"/>
  <c r="S466" i="2"/>
  <c r="M466" i="2"/>
  <c r="L466" i="2"/>
  <c r="K466" i="2"/>
  <c r="R466" i="2"/>
  <c r="T466" i="2"/>
  <c r="AO466" i="2"/>
  <c r="AX466" i="2"/>
  <c r="AW465" i="2"/>
  <c r="AZ465" i="2"/>
  <c r="AY466" i="2"/>
  <c r="BA466" i="2"/>
  <c r="AK467" i="2"/>
  <c r="AH467" i="2"/>
  <c r="Y467" i="2"/>
  <c r="Z467" i="2"/>
  <c r="AA467" i="2"/>
  <c r="AB467" i="2"/>
  <c r="X467" i="2"/>
  <c r="W467" i="2"/>
  <c r="AL467" i="2"/>
  <c r="AD467" i="2"/>
  <c r="AC467" i="2"/>
  <c r="AE467" i="2"/>
  <c r="AM467" i="2"/>
  <c r="AN467" i="2"/>
  <c r="P467" i="2"/>
  <c r="Q467" i="2"/>
  <c r="G467" i="2"/>
  <c r="J467" i="2"/>
  <c r="F467" i="2"/>
  <c r="I467" i="2"/>
  <c r="S467" i="2"/>
  <c r="M467" i="2"/>
  <c r="L467" i="2"/>
  <c r="K467" i="2"/>
  <c r="R467" i="2"/>
  <c r="T467" i="2"/>
  <c r="AO467" i="2"/>
  <c r="AX467" i="2"/>
  <c r="AW466" i="2"/>
  <c r="AZ466" i="2"/>
  <c r="AY467" i="2"/>
  <c r="BA467" i="2"/>
  <c r="AK468" i="2"/>
  <c r="AH468" i="2"/>
  <c r="Y468" i="2"/>
  <c r="Z468" i="2"/>
  <c r="AA468" i="2"/>
  <c r="AB468" i="2"/>
  <c r="X468" i="2"/>
  <c r="W468" i="2"/>
  <c r="AL468" i="2"/>
  <c r="AD468" i="2"/>
  <c r="AC468" i="2"/>
  <c r="AE468" i="2"/>
  <c r="AM468" i="2"/>
  <c r="AN468" i="2"/>
  <c r="P468" i="2"/>
  <c r="Q468" i="2"/>
  <c r="G468" i="2"/>
  <c r="J468" i="2"/>
  <c r="F468" i="2"/>
  <c r="I468" i="2"/>
  <c r="S468" i="2"/>
  <c r="M468" i="2"/>
  <c r="L468" i="2"/>
  <c r="K468" i="2"/>
  <c r="R468" i="2"/>
  <c r="T468" i="2"/>
  <c r="AO468" i="2"/>
  <c r="AX468" i="2"/>
  <c r="AW467" i="2"/>
  <c r="AZ467" i="2"/>
  <c r="AY468" i="2"/>
  <c r="BA468" i="2"/>
  <c r="AK469" i="2"/>
  <c r="AH469" i="2"/>
  <c r="Y469" i="2"/>
  <c r="Z469" i="2"/>
  <c r="AA469" i="2"/>
  <c r="AB469" i="2"/>
  <c r="X469" i="2"/>
  <c r="W469" i="2"/>
  <c r="AL469" i="2"/>
  <c r="AD469" i="2"/>
  <c r="AC469" i="2"/>
  <c r="AE469" i="2"/>
  <c r="AM469" i="2"/>
  <c r="AN469" i="2"/>
  <c r="P469" i="2"/>
  <c r="Q469" i="2"/>
  <c r="G469" i="2"/>
  <c r="J469" i="2"/>
  <c r="F469" i="2"/>
  <c r="I469" i="2"/>
  <c r="S469" i="2"/>
  <c r="M469" i="2"/>
  <c r="L469" i="2"/>
  <c r="K469" i="2"/>
  <c r="R469" i="2"/>
  <c r="T469" i="2"/>
  <c r="AO469" i="2"/>
  <c r="AX469" i="2"/>
  <c r="AW468" i="2"/>
  <c r="AZ468" i="2"/>
  <c r="AY469" i="2"/>
  <c r="BA469" i="2"/>
  <c r="AK470" i="2"/>
  <c r="AH470" i="2"/>
  <c r="Y470" i="2"/>
  <c r="Z470" i="2"/>
  <c r="AA470" i="2"/>
  <c r="AB470" i="2"/>
  <c r="X470" i="2"/>
  <c r="W470" i="2"/>
  <c r="AL470" i="2"/>
  <c r="AD470" i="2"/>
  <c r="AC470" i="2"/>
  <c r="AE470" i="2"/>
  <c r="AM470" i="2"/>
  <c r="AN470" i="2"/>
  <c r="P470" i="2"/>
  <c r="Q470" i="2"/>
  <c r="G470" i="2"/>
  <c r="J470" i="2"/>
  <c r="F470" i="2"/>
  <c r="I470" i="2"/>
  <c r="S470" i="2"/>
  <c r="M470" i="2"/>
  <c r="L470" i="2"/>
  <c r="K470" i="2"/>
  <c r="R470" i="2"/>
  <c r="T470" i="2"/>
  <c r="AO470" i="2"/>
  <c r="AX470" i="2"/>
  <c r="AW469" i="2"/>
  <c r="AZ469" i="2"/>
  <c r="AY470" i="2"/>
  <c r="BA470" i="2"/>
  <c r="AK471" i="2"/>
  <c r="AH471" i="2"/>
  <c r="Y471" i="2"/>
  <c r="Z471" i="2"/>
  <c r="AA471" i="2"/>
  <c r="AB471" i="2"/>
  <c r="X471" i="2"/>
  <c r="W471" i="2"/>
  <c r="AL471" i="2"/>
  <c r="AD471" i="2"/>
  <c r="AC471" i="2"/>
  <c r="AE471" i="2"/>
  <c r="AM471" i="2"/>
  <c r="AN471" i="2"/>
  <c r="P471" i="2"/>
  <c r="Q471" i="2"/>
  <c r="G471" i="2"/>
  <c r="J471" i="2"/>
  <c r="F471" i="2"/>
  <c r="I471" i="2"/>
  <c r="S471" i="2"/>
  <c r="M471" i="2"/>
  <c r="L471" i="2"/>
  <c r="K471" i="2"/>
  <c r="R471" i="2"/>
  <c r="T471" i="2"/>
  <c r="AO471" i="2"/>
  <c r="AX471" i="2"/>
  <c r="AW470" i="2"/>
  <c r="AZ470" i="2"/>
  <c r="AY471" i="2"/>
  <c r="BA471" i="2"/>
  <c r="AK472" i="2"/>
  <c r="AH472" i="2"/>
  <c r="Y472" i="2"/>
  <c r="Z472" i="2"/>
  <c r="AA472" i="2"/>
  <c r="AB472" i="2"/>
  <c r="X472" i="2"/>
  <c r="W472" i="2"/>
  <c r="AL472" i="2"/>
  <c r="AD472" i="2"/>
  <c r="AC472" i="2"/>
  <c r="AE472" i="2"/>
  <c r="AM472" i="2"/>
  <c r="AN472" i="2"/>
  <c r="P472" i="2"/>
  <c r="Q472" i="2"/>
  <c r="G472" i="2"/>
  <c r="J472" i="2"/>
  <c r="F472" i="2"/>
  <c r="I472" i="2"/>
  <c r="S472" i="2"/>
  <c r="M472" i="2"/>
  <c r="L472" i="2"/>
  <c r="K472" i="2"/>
  <c r="R472" i="2"/>
  <c r="T472" i="2"/>
  <c r="AO472" i="2"/>
  <c r="AX472" i="2"/>
  <c r="AW471" i="2"/>
  <c r="AZ471" i="2"/>
  <c r="AY472" i="2"/>
  <c r="BA472" i="2"/>
  <c r="AK473" i="2"/>
  <c r="AH473" i="2"/>
  <c r="Y473" i="2"/>
  <c r="Z473" i="2"/>
  <c r="AA473" i="2"/>
  <c r="AB473" i="2"/>
  <c r="X473" i="2"/>
  <c r="W473" i="2"/>
  <c r="AL473" i="2"/>
  <c r="AD473" i="2"/>
  <c r="AC473" i="2"/>
  <c r="AE473" i="2"/>
  <c r="AM473" i="2"/>
  <c r="AN473" i="2"/>
  <c r="P473" i="2"/>
  <c r="Q473" i="2"/>
  <c r="G473" i="2"/>
  <c r="J473" i="2"/>
  <c r="F473" i="2"/>
  <c r="I473" i="2"/>
  <c r="S473" i="2"/>
  <c r="M473" i="2"/>
  <c r="L473" i="2"/>
  <c r="K473" i="2"/>
  <c r="R473" i="2"/>
  <c r="T473" i="2"/>
  <c r="AO473" i="2"/>
  <c r="AX473" i="2"/>
  <c r="AW472" i="2"/>
  <c r="AZ472" i="2"/>
  <c r="AY473" i="2"/>
  <c r="BA473" i="2"/>
  <c r="AK474" i="2"/>
  <c r="AH474" i="2"/>
  <c r="Y474" i="2"/>
  <c r="Z474" i="2"/>
  <c r="AA474" i="2"/>
  <c r="AB474" i="2"/>
  <c r="X474" i="2"/>
  <c r="W474" i="2"/>
  <c r="AL474" i="2"/>
  <c r="AD474" i="2"/>
  <c r="AC474" i="2"/>
  <c r="AE474" i="2"/>
  <c r="AM474" i="2"/>
  <c r="AN474" i="2"/>
  <c r="P474" i="2"/>
  <c r="Q474" i="2"/>
  <c r="G474" i="2"/>
  <c r="J474" i="2"/>
  <c r="F474" i="2"/>
  <c r="I474" i="2"/>
  <c r="S474" i="2"/>
  <c r="M474" i="2"/>
  <c r="L474" i="2"/>
  <c r="K474" i="2"/>
  <c r="R474" i="2"/>
  <c r="T474" i="2"/>
  <c r="AO474" i="2"/>
  <c r="AX474" i="2"/>
  <c r="AW473" i="2"/>
  <c r="AZ473" i="2"/>
  <c r="AY474" i="2"/>
  <c r="BA474" i="2"/>
  <c r="AK475" i="2"/>
  <c r="AH475" i="2"/>
  <c r="Y475" i="2"/>
  <c r="Z475" i="2"/>
  <c r="AA475" i="2"/>
  <c r="AB475" i="2"/>
  <c r="X475" i="2"/>
  <c r="W475" i="2"/>
  <c r="AL475" i="2"/>
  <c r="AD475" i="2"/>
  <c r="AC475" i="2"/>
  <c r="AE475" i="2"/>
  <c r="AM475" i="2"/>
  <c r="AN475" i="2"/>
  <c r="P475" i="2"/>
  <c r="Q475" i="2"/>
  <c r="G475" i="2"/>
  <c r="J475" i="2"/>
  <c r="F475" i="2"/>
  <c r="I475" i="2"/>
  <c r="S475" i="2"/>
  <c r="M475" i="2"/>
  <c r="L475" i="2"/>
  <c r="K475" i="2"/>
  <c r="R475" i="2"/>
  <c r="T475" i="2"/>
  <c r="AO475" i="2"/>
  <c r="AX475" i="2"/>
  <c r="AW474" i="2"/>
  <c r="AZ474" i="2"/>
  <c r="AY475" i="2"/>
  <c r="BA475" i="2"/>
  <c r="AK476" i="2"/>
  <c r="AH476" i="2"/>
  <c r="Y476" i="2"/>
  <c r="Z476" i="2"/>
  <c r="AA476" i="2"/>
  <c r="AB476" i="2"/>
  <c r="X476" i="2"/>
  <c r="W476" i="2"/>
  <c r="AL476" i="2"/>
  <c r="AD476" i="2"/>
  <c r="AC476" i="2"/>
  <c r="AE476" i="2"/>
  <c r="AM476" i="2"/>
  <c r="AN476" i="2"/>
  <c r="P476" i="2"/>
  <c r="Q476" i="2"/>
  <c r="G476" i="2"/>
  <c r="J476" i="2"/>
  <c r="F476" i="2"/>
  <c r="I476" i="2"/>
  <c r="S476" i="2"/>
  <c r="M476" i="2"/>
  <c r="L476" i="2"/>
  <c r="K476" i="2"/>
  <c r="R476" i="2"/>
  <c r="T476" i="2"/>
  <c r="AO476" i="2"/>
  <c r="AX476" i="2"/>
  <c r="AW475" i="2"/>
  <c r="AZ475" i="2"/>
  <c r="AY476" i="2"/>
  <c r="BA476" i="2"/>
  <c r="AK477" i="2"/>
  <c r="AH477" i="2"/>
  <c r="Y477" i="2"/>
  <c r="Z477" i="2"/>
  <c r="AA477" i="2"/>
  <c r="AB477" i="2"/>
  <c r="X477" i="2"/>
  <c r="W477" i="2"/>
  <c r="AL477" i="2"/>
  <c r="AD477" i="2"/>
  <c r="AC477" i="2"/>
  <c r="AE477" i="2"/>
  <c r="AM477" i="2"/>
  <c r="AN477" i="2"/>
  <c r="P477" i="2"/>
  <c r="Q477" i="2"/>
  <c r="G477" i="2"/>
  <c r="J477" i="2"/>
  <c r="F477" i="2"/>
  <c r="I477" i="2"/>
  <c r="S477" i="2"/>
  <c r="M477" i="2"/>
  <c r="L477" i="2"/>
  <c r="K477" i="2"/>
  <c r="R477" i="2"/>
  <c r="T477" i="2"/>
  <c r="AO477" i="2"/>
  <c r="AX477" i="2"/>
  <c r="AW476" i="2"/>
  <c r="AZ476" i="2"/>
  <c r="AY477" i="2"/>
  <c r="BA477" i="2"/>
  <c r="AK478" i="2"/>
  <c r="AH478" i="2"/>
  <c r="Y478" i="2"/>
  <c r="Z478" i="2"/>
  <c r="AA478" i="2"/>
  <c r="AB478" i="2"/>
  <c r="X478" i="2"/>
  <c r="W478" i="2"/>
  <c r="AL478" i="2"/>
  <c r="AD478" i="2"/>
  <c r="AC478" i="2"/>
  <c r="AE478" i="2"/>
  <c r="AM478" i="2"/>
  <c r="AN478" i="2"/>
  <c r="P478" i="2"/>
  <c r="Q478" i="2"/>
  <c r="G478" i="2"/>
  <c r="J478" i="2"/>
  <c r="F478" i="2"/>
  <c r="I478" i="2"/>
  <c r="S478" i="2"/>
  <c r="M478" i="2"/>
  <c r="L478" i="2"/>
  <c r="K478" i="2"/>
  <c r="R478" i="2"/>
  <c r="T478" i="2"/>
  <c r="AO478" i="2"/>
  <c r="AX478" i="2"/>
  <c r="AW477" i="2"/>
  <c r="AZ477" i="2"/>
  <c r="AY478" i="2"/>
  <c r="BA478" i="2"/>
  <c r="AK479" i="2"/>
  <c r="AH479" i="2"/>
  <c r="Y479" i="2"/>
  <c r="Z479" i="2"/>
  <c r="AA479" i="2"/>
  <c r="AB479" i="2"/>
  <c r="X479" i="2"/>
  <c r="W479" i="2"/>
  <c r="AL479" i="2"/>
  <c r="AD479" i="2"/>
  <c r="AC479" i="2"/>
  <c r="AE479" i="2"/>
  <c r="AM479" i="2"/>
  <c r="AN479" i="2"/>
  <c r="P479" i="2"/>
  <c r="Q479" i="2"/>
  <c r="G479" i="2"/>
  <c r="J479" i="2"/>
  <c r="F479" i="2"/>
  <c r="I479" i="2"/>
  <c r="S479" i="2"/>
  <c r="M479" i="2"/>
  <c r="L479" i="2"/>
  <c r="K479" i="2"/>
  <c r="R479" i="2"/>
  <c r="T479" i="2"/>
  <c r="AO479" i="2"/>
  <c r="AX479" i="2"/>
  <c r="AW478" i="2"/>
  <c r="AZ478" i="2"/>
  <c r="AY479" i="2"/>
  <c r="BA479" i="2"/>
  <c r="AK480" i="2"/>
  <c r="AH480" i="2"/>
  <c r="Y480" i="2"/>
  <c r="Z480" i="2"/>
  <c r="AA480" i="2"/>
  <c r="AB480" i="2"/>
  <c r="X480" i="2"/>
  <c r="W480" i="2"/>
  <c r="AL480" i="2"/>
  <c r="AD480" i="2"/>
  <c r="AC480" i="2"/>
  <c r="AE480" i="2"/>
  <c r="AM480" i="2"/>
  <c r="AN480" i="2"/>
  <c r="P480" i="2"/>
  <c r="Q480" i="2"/>
  <c r="G480" i="2"/>
  <c r="J480" i="2"/>
  <c r="F480" i="2"/>
  <c r="I480" i="2"/>
  <c r="S480" i="2"/>
  <c r="M480" i="2"/>
  <c r="L480" i="2"/>
  <c r="K480" i="2"/>
  <c r="R480" i="2"/>
  <c r="T480" i="2"/>
  <c r="AO480" i="2"/>
  <c r="AX480" i="2"/>
  <c r="AW479" i="2"/>
  <c r="AZ479" i="2"/>
  <c r="AY480" i="2"/>
  <c r="BA480" i="2"/>
  <c r="AK481" i="2"/>
  <c r="AH481" i="2"/>
  <c r="Y481" i="2"/>
  <c r="Z481" i="2"/>
  <c r="AA481" i="2"/>
  <c r="AB481" i="2"/>
  <c r="X481" i="2"/>
  <c r="W481" i="2"/>
  <c r="AL481" i="2"/>
  <c r="AD481" i="2"/>
  <c r="AC481" i="2"/>
  <c r="AE481" i="2"/>
  <c r="AM481" i="2"/>
  <c r="AN481" i="2"/>
  <c r="P481" i="2"/>
  <c r="Q481" i="2"/>
  <c r="G481" i="2"/>
  <c r="J481" i="2"/>
  <c r="F481" i="2"/>
  <c r="I481" i="2"/>
  <c r="S481" i="2"/>
  <c r="M481" i="2"/>
  <c r="L481" i="2"/>
  <c r="K481" i="2"/>
  <c r="R481" i="2"/>
  <c r="T481" i="2"/>
  <c r="AO481" i="2"/>
  <c r="AX481" i="2"/>
  <c r="AW480" i="2"/>
  <c r="AZ480" i="2"/>
  <c r="AY481" i="2"/>
  <c r="BA481" i="2"/>
  <c r="AK482" i="2"/>
  <c r="AH482" i="2"/>
  <c r="Y482" i="2"/>
  <c r="Z482" i="2"/>
  <c r="AA482" i="2"/>
  <c r="AB482" i="2"/>
  <c r="X482" i="2"/>
  <c r="W482" i="2"/>
  <c r="AL482" i="2"/>
  <c r="AD482" i="2"/>
  <c r="AC482" i="2"/>
  <c r="AE482" i="2"/>
  <c r="AM482" i="2"/>
  <c r="AN482" i="2"/>
  <c r="P482" i="2"/>
  <c r="Q482" i="2"/>
  <c r="G482" i="2"/>
  <c r="J482" i="2"/>
  <c r="F482" i="2"/>
  <c r="I482" i="2"/>
  <c r="S482" i="2"/>
  <c r="M482" i="2"/>
  <c r="L482" i="2"/>
  <c r="K482" i="2"/>
  <c r="R482" i="2"/>
  <c r="T482" i="2"/>
  <c r="AO482" i="2"/>
  <c r="AX482" i="2"/>
  <c r="AW481" i="2"/>
  <c r="AZ481" i="2"/>
  <c r="AY482" i="2"/>
  <c r="BA482" i="2"/>
  <c r="AK483" i="2"/>
  <c r="AH483" i="2"/>
  <c r="Y483" i="2"/>
  <c r="Z483" i="2"/>
  <c r="AA483" i="2"/>
  <c r="AB483" i="2"/>
  <c r="X483" i="2"/>
  <c r="W483" i="2"/>
  <c r="AL483" i="2"/>
  <c r="AD483" i="2"/>
  <c r="AC483" i="2"/>
  <c r="AE483" i="2"/>
  <c r="AM483" i="2"/>
  <c r="AN483" i="2"/>
  <c r="P483" i="2"/>
  <c r="Q483" i="2"/>
  <c r="G483" i="2"/>
  <c r="J483" i="2"/>
  <c r="F483" i="2"/>
  <c r="I483" i="2"/>
  <c r="S483" i="2"/>
  <c r="M483" i="2"/>
  <c r="L483" i="2"/>
  <c r="K483" i="2"/>
  <c r="R483" i="2"/>
  <c r="T483" i="2"/>
  <c r="AO483" i="2"/>
  <c r="AX483" i="2"/>
  <c r="AW482" i="2"/>
  <c r="AZ482" i="2"/>
  <c r="AY483" i="2"/>
  <c r="BA483" i="2"/>
  <c r="AK484" i="2"/>
  <c r="AH484" i="2"/>
  <c r="Y484" i="2"/>
  <c r="Z484" i="2"/>
  <c r="AA484" i="2"/>
  <c r="AB484" i="2"/>
  <c r="X484" i="2"/>
  <c r="W484" i="2"/>
  <c r="AL484" i="2"/>
  <c r="AD484" i="2"/>
  <c r="AC484" i="2"/>
  <c r="AE484" i="2"/>
  <c r="AM484" i="2"/>
  <c r="AN484" i="2"/>
  <c r="P484" i="2"/>
  <c r="Q484" i="2"/>
  <c r="G484" i="2"/>
  <c r="J484" i="2"/>
  <c r="F484" i="2"/>
  <c r="I484" i="2"/>
  <c r="S484" i="2"/>
  <c r="M484" i="2"/>
  <c r="L484" i="2"/>
  <c r="K484" i="2"/>
  <c r="R484" i="2"/>
  <c r="T484" i="2"/>
  <c r="AO484" i="2"/>
  <c r="AX484" i="2"/>
  <c r="AW483" i="2"/>
  <c r="AZ483" i="2"/>
  <c r="AY484" i="2"/>
  <c r="BA484" i="2"/>
  <c r="AK485" i="2"/>
  <c r="AH485" i="2"/>
  <c r="Y485" i="2"/>
  <c r="Z485" i="2"/>
  <c r="AA485" i="2"/>
  <c r="AB485" i="2"/>
  <c r="X485" i="2"/>
  <c r="W485" i="2"/>
  <c r="AL485" i="2"/>
  <c r="AD485" i="2"/>
  <c r="AC485" i="2"/>
  <c r="AE485" i="2"/>
  <c r="AM485" i="2"/>
  <c r="AN485" i="2"/>
  <c r="P485" i="2"/>
  <c r="Q485" i="2"/>
  <c r="G485" i="2"/>
  <c r="J485" i="2"/>
  <c r="F485" i="2"/>
  <c r="I485" i="2"/>
  <c r="S485" i="2"/>
  <c r="M485" i="2"/>
  <c r="L485" i="2"/>
  <c r="K485" i="2"/>
  <c r="R485" i="2"/>
  <c r="T485" i="2"/>
  <c r="AO485" i="2"/>
  <c r="AX485" i="2"/>
  <c r="AW484" i="2"/>
  <c r="AZ484" i="2"/>
  <c r="AY485" i="2"/>
  <c r="BA485" i="2"/>
  <c r="AK486" i="2"/>
  <c r="AH486" i="2"/>
  <c r="Y486" i="2"/>
  <c r="Z486" i="2"/>
  <c r="AA486" i="2"/>
  <c r="AB486" i="2"/>
  <c r="X486" i="2"/>
  <c r="W486" i="2"/>
  <c r="AL486" i="2"/>
  <c r="AD486" i="2"/>
  <c r="AC486" i="2"/>
  <c r="AE486" i="2"/>
  <c r="AM486" i="2"/>
  <c r="AN486" i="2"/>
  <c r="P486" i="2"/>
  <c r="Q486" i="2"/>
  <c r="G486" i="2"/>
  <c r="J486" i="2"/>
  <c r="F486" i="2"/>
  <c r="I486" i="2"/>
  <c r="S486" i="2"/>
  <c r="M486" i="2"/>
  <c r="L486" i="2"/>
  <c r="K486" i="2"/>
  <c r="R486" i="2"/>
  <c r="T486" i="2"/>
  <c r="AO486" i="2"/>
  <c r="AX486" i="2"/>
  <c r="AW485" i="2"/>
  <c r="AZ485" i="2"/>
  <c r="AY486" i="2"/>
  <c r="BA486" i="2"/>
  <c r="AK487" i="2"/>
  <c r="AH487" i="2"/>
  <c r="Y487" i="2"/>
  <c r="Z487" i="2"/>
  <c r="AA487" i="2"/>
  <c r="AB487" i="2"/>
  <c r="X487" i="2"/>
  <c r="W487" i="2"/>
  <c r="AL487" i="2"/>
  <c r="AD487" i="2"/>
  <c r="AC487" i="2"/>
  <c r="AE487" i="2"/>
  <c r="AM487" i="2"/>
  <c r="AN487" i="2"/>
  <c r="P487" i="2"/>
  <c r="Q487" i="2"/>
  <c r="G487" i="2"/>
  <c r="J487" i="2"/>
  <c r="F487" i="2"/>
  <c r="I487" i="2"/>
  <c r="S487" i="2"/>
  <c r="M487" i="2"/>
  <c r="L487" i="2"/>
  <c r="K487" i="2"/>
  <c r="R487" i="2"/>
  <c r="T487" i="2"/>
  <c r="AO487" i="2"/>
  <c r="AX487" i="2"/>
  <c r="AW486" i="2"/>
  <c r="AZ486" i="2"/>
  <c r="AY487" i="2"/>
  <c r="BA487" i="2"/>
  <c r="AK488" i="2"/>
  <c r="AH488" i="2"/>
  <c r="Y488" i="2"/>
  <c r="Z488" i="2"/>
  <c r="AA488" i="2"/>
  <c r="AB488" i="2"/>
  <c r="X488" i="2"/>
  <c r="W488" i="2"/>
  <c r="AL488" i="2"/>
  <c r="AD488" i="2"/>
  <c r="AC488" i="2"/>
  <c r="AE488" i="2"/>
  <c r="AM488" i="2"/>
  <c r="AN488" i="2"/>
  <c r="P488" i="2"/>
  <c r="Q488" i="2"/>
  <c r="G488" i="2"/>
  <c r="J488" i="2"/>
  <c r="F488" i="2"/>
  <c r="I488" i="2"/>
  <c r="S488" i="2"/>
  <c r="M488" i="2"/>
  <c r="L488" i="2"/>
  <c r="K488" i="2"/>
  <c r="R488" i="2"/>
  <c r="T488" i="2"/>
  <c r="AO488" i="2"/>
  <c r="AX488" i="2"/>
  <c r="AW487" i="2"/>
  <c r="AZ487" i="2"/>
  <c r="AY488" i="2"/>
  <c r="BA488" i="2"/>
  <c r="AK489" i="2"/>
  <c r="AH489" i="2"/>
  <c r="Y489" i="2"/>
  <c r="Z489" i="2"/>
  <c r="AA489" i="2"/>
  <c r="AB489" i="2"/>
  <c r="X489" i="2"/>
  <c r="W489" i="2"/>
  <c r="AL489" i="2"/>
  <c r="AD489" i="2"/>
  <c r="AC489" i="2"/>
  <c r="AE489" i="2"/>
  <c r="AM489" i="2"/>
  <c r="AN489" i="2"/>
  <c r="P489" i="2"/>
  <c r="Q489" i="2"/>
  <c r="G489" i="2"/>
  <c r="J489" i="2"/>
  <c r="F489" i="2"/>
  <c r="I489" i="2"/>
  <c r="S489" i="2"/>
  <c r="M489" i="2"/>
  <c r="L489" i="2"/>
  <c r="K489" i="2"/>
  <c r="R489" i="2"/>
  <c r="T489" i="2"/>
  <c r="AO489" i="2"/>
  <c r="AX489" i="2"/>
  <c r="AW488" i="2"/>
  <c r="AZ488" i="2"/>
  <c r="AY489" i="2"/>
  <c r="BA489" i="2"/>
  <c r="AK490" i="2"/>
  <c r="AH490" i="2"/>
  <c r="Y490" i="2"/>
  <c r="Z490" i="2"/>
  <c r="AA490" i="2"/>
  <c r="AB490" i="2"/>
  <c r="X490" i="2"/>
  <c r="W490" i="2"/>
  <c r="AL490" i="2"/>
  <c r="AD490" i="2"/>
  <c r="AC490" i="2"/>
  <c r="AE490" i="2"/>
  <c r="AM490" i="2"/>
  <c r="AN490" i="2"/>
  <c r="P490" i="2"/>
  <c r="Q490" i="2"/>
  <c r="G490" i="2"/>
  <c r="J490" i="2"/>
  <c r="F490" i="2"/>
  <c r="I490" i="2"/>
  <c r="S490" i="2"/>
  <c r="M490" i="2"/>
  <c r="L490" i="2"/>
  <c r="K490" i="2"/>
  <c r="R490" i="2"/>
  <c r="T490" i="2"/>
  <c r="AO490" i="2"/>
  <c r="AX490" i="2"/>
  <c r="AW489" i="2"/>
  <c r="AZ489" i="2"/>
  <c r="AY490" i="2"/>
  <c r="BA490" i="2"/>
  <c r="AK491" i="2"/>
  <c r="AH491" i="2"/>
  <c r="Y491" i="2"/>
  <c r="Z491" i="2"/>
  <c r="AA491" i="2"/>
  <c r="AB491" i="2"/>
  <c r="X491" i="2"/>
  <c r="W491" i="2"/>
  <c r="AL491" i="2"/>
  <c r="AD491" i="2"/>
  <c r="AC491" i="2"/>
  <c r="AE491" i="2"/>
  <c r="AM491" i="2"/>
  <c r="AN491" i="2"/>
  <c r="P491" i="2"/>
  <c r="Q491" i="2"/>
  <c r="G491" i="2"/>
  <c r="J491" i="2"/>
  <c r="F491" i="2"/>
  <c r="I491" i="2"/>
  <c r="S491" i="2"/>
  <c r="M491" i="2"/>
  <c r="L491" i="2"/>
  <c r="K491" i="2"/>
  <c r="R491" i="2"/>
  <c r="T491" i="2"/>
  <c r="AO491" i="2"/>
  <c r="AX491" i="2"/>
  <c r="AW490" i="2"/>
  <c r="AZ490" i="2"/>
  <c r="AY491" i="2"/>
  <c r="BA491" i="2"/>
  <c r="AK492" i="2"/>
  <c r="AH492" i="2"/>
  <c r="Y492" i="2"/>
  <c r="Z492" i="2"/>
  <c r="AA492" i="2"/>
  <c r="AB492" i="2"/>
  <c r="X492" i="2"/>
  <c r="W492" i="2"/>
  <c r="AL492" i="2"/>
  <c r="AD492" i="2"/>
  <c r="AC492" i="2"/>
  <c r="AE492" i="2"/>
  <c r="AM492" i="2"/>
  <c r="AN492" i="2"/>
  <c r="P492" i="2"/>
  <c r="Q492" i="2"/>
  <c r="G492" i="2"/>
  <c r="J492" i="2"/>
  <c r="F492" i="2"/>
  <c r="I492" i="2"/>
  <c r="S492" i="2"/>
  <c r="M492" i="2"/>
  <c r="L492" i="2"/>
  <c r="K492" i="2"/>
  <c r="R492" i="2"/>
  <c r="T492" i="2"/>
  <c r="AO492" i="2"/>
  <c r="AX492" i="2"/>
  <c r="AW491" i="2"/>
  <c r="AZ491" i="2"/>
  <c r="AY492" i="2"/>
  <c r="BA492" i="2"/>
  <c r="AK493" i="2"/>
  <c r="AH493" i="2"/>
  <c r="Y493" i="2"/>
  <c r="Z493" i="2"/>
  <c r="AA493" i="2"/>
  <c r="AB493" i="2"/>
  <c r="X493" i="2"/>
  <c r="W493" i="2"/>
  <c r="AL493" i="2"/>
  <c r="AD493" i="2"/>
  <c r="AC493" i="2"/>
  <c r="AE493" i="2"/>
  <c r="AM493" i="2"/>
  <c r="AN493" i="2"/>
  <c r="P493" i="2"/>
  <c r="Q493" i="2"/>
  <c r="G493" i="2"/>
  <c r="J493" i="2"/>
  <c r="F493" i="2"/>
  <c r="I493" i="2"/>
  <c r="S493" i="2"/>
  <c r="M493" i="2"/>
  <c r="L493" i="2"/>
  <c r="K493" i="2"/>
  <c r="R493" i="2"/>
  <c r="T493" i="2"/>
  <c r="AO493" i="2"/>
  <c r="AX493" i="2"/>
  <c r="AW492" i="2"/>
  <c r="AZ492" i="2"/>
  <c r="AY493" i="2"/>
  <c r="BA493" i="2"/>
  <c r="AK494" i="2"/>
  <c r="AH494" i="2"/>
  <c r="Y494" i="2"/>
  <c r="Z494" i="2"/>
  <c r="AA494" i="2"/>
  <c r="AB494" i="2"/>
  <c r="X494" i="2"/>
  <c r="W494" i="2"/>
  <c r="AL494" i="2"/>
  <c r="AD494" i="2"/>
  <c r="AC494" i="2"/>
  <c r="AE494" i="2"/>
  <c r="AM494" i="2"/>
  <c r="AN494" i="2"/>
  <c r="P494" i="2"/>
  <c r="Q494" i="2"/>
  <c r="G494" i="2"/>
  <c r="J494" i="2"/>
  <c r="F494" i="2"/>
  <c r="I494" i="2"/>
  <c r="S494" i="2"/>
  <c r="M494" i="2"/>
  <c r="L494" i="2"/>
  <c r="K494" i="2"/>
  <c r="R494" i="2"/>
  <c r="T494" i="2"/>
  <c r="AO494" i="2"/>
  <c r="AX494" i="2"/>
  <c r="AW493" i="2"/>
  <c r="AZ493" i="2"/>
  <c r="AY494" i="2"/>
  <c r="BA494" i="2"/>
  <c r="AK495" i="2"/>
  <c r="AH495" i="2"/>
  <c r="Y495" i="2"/>
  <c r="Z495" i="2"/>
  <c r="AA495" i="2"/>
  <c r="AB495" i="2"/>
  <c r="X495" i="2"/>
  <c r="W495" i="2"/>
  <c r="AL495" i="2"/>
  <c r="AD495" i="2"/>
  <c r="AC495" i="2"/>
  <c r="AE495" i="2"/>
  <c r="AM495" i="2"/>
  <c r="AN495" i="2"/>
  <c r="P495" i="2"/>
  <c r="Q495" i="2"/>
  <c r="G495" i="2"/>
  <c r="J495" i="2"/>
  <c r="F495" i="2"/>
  <c r="I495" i="2"/>
  <c r="S495" i="2"/>
  <c r="M495" i="2"/>
  <c r="L495" i="2"/>
  <c r="K495" i="2"/>
  <c r="R495" i="2"/>
  <c r="T495" i="2"/>
  <c r="AO495" i="2"/>
  <c r="AX495" i="2"/>
  <c r="AW494" i="2"/>
  <c r="AZ494" i="2"/>
  <c r="AY495" i="2"/>
  <c r="BA495" i="2"/>
  <c r="AK496" i="2"/>
  <c r="AH496" i="2"/>
  <c r="Y496" i="2"/>
  <c r="Z496" i="2"/>
  <c r="AA496" i="2"/>
  <c r="AB496" i="2"/>
  <c r="X496" i="2"/>
  <c r="W496" i="2"/>
  <c r="AL496" i="2"/>
  <c r="AD496" i="2"/>
  <c r="AC496" i="2"/>
  <c r="AE496" i="2"/>
  <c r="AM496" i="2"/>
  <c r="AN496" i="2"/>
  <c r="P496" i="2"/>
  <c r="Q496" i="2"/>
  <c r="G496" i="2"/>
  <c r="J496" i="2"/>
  <c r="F496" i="2"/>
  <c r="I496" i="2"/>
  <c r="S496" i="2"/>
  <c r="M496" i="2"/>
  <c r="L496" i="2"/>
  <c r="K496" i="2"/>
  <c r="R496" i="2"/>
  <c r="T496" i="2"/>
  <c r="AO496" i="2"/>
  <c r="AX496" i="2"/>
  <c r="AW495" i="2"/>
  <c r="AZ495" i="2"/>
  <c r="AY496" i="2"/>
  <c r="BA496" i="2"/>
  <c r="AK497" i="2"/>
  <c r="AH497" i="2"/>
  <c r="Y497" i="2"/>
  <c r="Z497" i="2"/>
  <c r="AA497" i="2"/>
  <c r="AB497" i="2"/>
  <c r="X497" i="2"/>
  <c r="W497" i="2"/>
  <c r="AL497" i="2"/>
  <c r="AD497" i="2"/>
  <c r="AC497" i="2"/>
  <c r="AE497" i="2"/>
  <c r="AM497" i="2"/>
  <c r="AN497" i="2"/>
  <c r="P497" i="2"/>
  <c r="Q497" i="2"/>
  <c r="G497" i="2"/>
  <c r="J497" i="2"/>
  <c r="F497" i="2"/>
  <c r="I497" i="2"/>
  <c r="S497" i="2"/>
  <c r="M497" i="2"/>
  <c r="L497" i="2"/>
  <c r="K497" i="2"/>
  <c r="R497" i="2"/>
  <c r="T497" i="2"/>
  <c r="AO497" i="2"/>
  <c r="AX497" i="2"/>
  <c r="AW496" i="2"/>
  <c r="AZ496" i="2"/>
  <c r="AY497" i="2"/>
  <c r="BA497" i="2"/>
  <c r="AK498" i="2"/>
  <c r="AH498" i="2"/>
  <c r="Y498" i="2"/>
  <c r="Z498" i="2"/>
  <c r="AA498" i="2"/>
  <c r="AB498" i="2"/>
  <c r="X498" i="2"/>
  <c r="W498" i="2"/>
  <c r="AL498" i="2"/>
  <c r="AD498" i="2"/>
  <c r="AC498" i="2"/>
  <c r="AE498" i="2"/>
  <c r="AM498" i="2"/>
  <c r="AN498" i="2"/>
  <c r="P498" i="2"/>
  <c r="Q498" i="2"/>
  <c r="G498" i="2"/>
  <c r="J498" i="2"/>
  <c r="F498" i="2"/>
  <c r="I498" i="2"/>
  <c r="S498" i="2"/>
  <c r="M498" i="2"/>
  <c r="L498" i="2"/>
  <c r="K498" i="2"/>
  <c r="R498" i="2"/>
  <c r="T498" i="2"/>
  <c r="AO498" i="2"/>
  <c r="AX498" i="2"/>
  <c r="AW497" i="2"/>
  <c r="AZ497" i="2"/>
  <c r="AY498" i="2"/>
  <c r="BA498" i="2"/>
  <c r="AK499" i="2"/>
  <c r="AH499" i="2"/>
  <c r="Y499" i="2"/>
  <c r="Z499" i="2"/>
  <c r="AA499" i="2"/>
  <c r="AB499" i="2"/>
  <c r="X499" i="2"/>
  <c r="W499" i="2"/>
  <c r="AL499" i="2"/>
  <c r="AD499" i="2"/>
  <c r="AC499" i="2"/>
  <c r="AE499" i="2"/>
  <c r="AM499" i="2"/>
  <c r="AN499" i="2"/>
  <c r="P499" i="2"/>
  <c r="Q499" i="2"/>
  <c r="G499" i="2"/>
  <c r="J499" i="2"/>
  <c r="F499" i="2"/>
  <c r="I499" i="2"/>
  <c r="S499" i="2"/>
  <c r="M499" i="2"/>
  <c r="L499" i="2"/>
  <c r="K499" i="2"/>
  <c r="R499" i="2"/>
  <c r="T499" i="2"/>
  <c r="AO499" i="2"/>
  <c r="AX499" i="2"/>
  <c r="AW498" i="2"/>
  <c r="AZ498" i="2"/>
  <c r="AY499" i="2"/>
  <c r="BA499" i="2"/>
  <c r="AK500" i="2"/>
  <c r="AH500" i="2"/>
  <c r="Y500" i="2"/>
  <c r="Z500" i="2"/>
  <c r="AA500" i="2"/>
  <c r="AB500" i="2"/>
  <c r="X500" i="2"/>
  <c r="W500" i="2"/>
  <c r="AL500" i="2"/>
  <c r="AD500" i="2"/>
  <c r="AC500" i="2"/>
  <c r="AE500" i="2"/>
  <c r="AM500" i="2"/>
  <c r="AN500" i="2"/>
  <c r="P500" i="2"/>
  <c r="Q500" i="2"/>
  <c r="G500" i="2"/>
  <c r="J500" i="2"/>
  <c r="F500" i="2"/>
  <c r="I500" i="2"/>
  <c r="S500" i="2"/>
  <c r="M500" i="2"/>
  <c r="L500" i="2"/>
  <c r="K500" i="2"/>
  <c r="R500" i="2"/>
  <c r="T500" i="2"/>
  <c r="AO500" i="2"/>
  <c r="AX500" i="2"/>
  <c r="AW499" i="2"/>
  <c r="AZ499" i="2"/>
  <c r="AY500" i="2"/>
  <c r="BA500" i="2"/>
  <c r="AK501" i="2"/>
  <c r="AH501" i="2"/>
  <c r="Y501" i="2"/>
  <c r="Z501" i="2"/>
  <c r="AA501" i="2"/>
  <c r="AB501" i="2"/>
  <c r="X501" i="2"/>
  <c r="W501" i="2"/>
  <c r="AL501" i="2"/>
  <c r="AD501" i="2"/>
  <c r="AC501" i="2"/>
  <c r="AE501" i="2"/>
  <c r="AM501" i="2"/>
  <c r="AN501" i="2"/>
  <c r="P501" i="2"/>
  <c r="Q501" i="2"/>
  <c r="G501" i="2"/>
  <c r="J501" i="2"/>
  <c r="F501" i="2"/>
  <c r="I501" i="2"/>
  <c r="S501" i="2"/>
  <c r="M501" i="2"/>
  <c r="L501" i="2"/>
  <c r="K501" i="2"/>
  <c r="R501" i="2"/>
  <c r="T501" i="2"/>
  <c r="AO501" i="2"/>
  <c r="AX501" i="2"/>
  <c r="AW500" i="2"/>
  <c r="AZ500" i="2"/>
  <c r="AY501" i="2"/>
  <c r="BA501" i="2"/>
  <c r="BF2" i="2"/>
  <c r="G157" i="5"/>
  <c r="E157" i="5"/>
  <c r="D1" i="5"/>
  <c r="G160" i="5"/>
  <c r="BB13" i="2"/>
  <c r="BD13" i="2"/>
  <c r="BB14" i="2"/>
  <c r="BD14" i="2"/>
  <c r="BB15" i="2"/>
  <c r="BD15" i="2"/>
  <c r="BB16" i="2"/>
  <c r="BD16" i="2"/>
  <c r="BB17" i="2"/>
  <c r="BD17" i="2"/>
  <c r="BB18" i="2"/>
  <c r="BD18" i="2"/>
  <c r="BB19" i="2"/>
  <c r="BD19" i="2"/>
  <c r="BB20" i="2"/>
  <c r="BD20" i="2"/>
  <c r="BB21" i="2"/>
  <c r="BD21" i="2"/>
  <c r="BB22" i="2"/>
  <c r="BD22" i="2"/>
  <c r="BB23" i="2"/>
  <c r="BD23" i="2"/>
  <c r="BB24" i="2"/>
  <c r="BD24" i="2"/>
  <c r="BB25" i="2"/>
  <c r="BD25" i="2"/>
  <c r="BB26" i="2"/>
  <c r="BD26" i="2"/>
  <c r="BB27" i="2"/>
  <c r="BD27" i="2"/>
  <c r="BB28" i="2"/>
  <c r="BD28" i="2"/>
  <c r="BB29" i="2"/>
  <c r="BD29" i="2"/>
  <c r="BB30" i="2"/>
  <c r="BD30" i="2"/>
  <c r="BB31" i="2"/>
  <c r="BD31" i="2"/>
  <c r="BB32" i="2"/>
  <c r="BD32" i="2"/>
  <c r="BB33" i="2"/>
  <c r="BD33" i="2"/>
  <c r="BB34" i="2"/>
  <c r="BD34" i="2"/>
  <c r="BB35" i="2"/>
  <c r="BD35" i="2"/>
  <c r="BB36" i="2"/>
  <c r="BD36" i="2"/>
  <c r="BB37" i="2"/>
  <c r="BD37" i="2"/>
  <c r="BB38" i="2"/>
  <c r="BD38" i="2"/>
  <c r="BB39" i="2"/>
  <c r="BD39" i="2"/>
  <c r="BB40" i="2"/>
  <c r="BD40" i="2"/>
  <c r="BB41" i="2"/>
  <c r="BD41" i="2"/>
  <c r="BB42" i="2"/>
  <c r="BD42" i="2"/>
  <c r="BB43" i="2"/>
  <c r="BD43" i="2"/>
  <c r="BB44" i="2"/>
  <c r="BD44" i="2"/>
  <c r="BB45" i="2"/>
  <c r="BD45" i="2"/>
  <c r="BB46" i="2"/>
  <c r="BD46" i="2"/>
  <c r="BB47" i="2"/>
  <c r="BD47" i="2"/>
  <c r="BB48" i="2"/>
  <c r="BD48" i="2"/>
  <c r="BB49" i="2"/>
  <c r="BD49" i="2"/>
  <c r="BB50" i="2"/>
  <c r="BD50" i="2"/>
  <c r="BB51" i="2"/>
  <c r="BD51" i="2"/>
  <c r="BB52" i="2"/>
  <c r="BD52" i="2"/>
  <c r="BB53" i="2"/>
  <c r="BD53" i="2"/>
  <c r="BB54" i="2"/>
  <c r="BD54" i="2"/>
  <c r="BB55" i="2"/>
  <c r="BD55" i="2"/>
  <c r="BB56" i="2"/>
  <c r="BD56" i="2"/>
  <c r="BB57" i="2"/>
  <c r="BD57" i="2"/>
  <c r="BB58" i="2"/>
  <c r="BD58" i="2"/>
  <c r="BB59" i="2"/>
  <c r="BD59" i="2"/>
  <c r="BB60" i="2"/>
  <c r="BD60" i="2"/>
  <c r="BB61" i="2"/>
  <c r="BD61" i="2"/>
  <c r="BB62" i="2"/>
  <c r="BD62" i="2"/>
  <c r="BB63" i="2"/>
  <c r="BD63" i="2"/>
  <c r="BB64" i="2"/>
  <c r="BD64" i="2"/>
  <c r="BB65" i="2"/>
  <c r="BD65" i="2"/>
  <c r="BB66" i="2"/>
  <c r="BD66" i="2"/>
  <c r="BB67" i="2"/>
  <c r="BD67" i="2"/>
  <c r="BB68" i="2"/>
  <c r="BD68" i="2"/>
  <c r="BB69" i="2"/>
  <c r="BD69" i="2"/>
  <c r="BB70" i="2"/>
  <c r="BD70" i="2"/>
  <c r="BB71" i="2"/>
  <c r="BD71" i="2"/>
  <c r="BB72" i="2"/>
  <c r="BD72" i="2"/>
  <c r="BB73" i="2"/>
  <c r="BD73" i="2"/>
  <c r="BB74" i="2"/>
  <c r="BD74" i="2"/>
  <c r="BB75" i="2"/>
  <c r="BD75" i="2"/>
  <c r="BB76" i="2"/>
  <c r="BD76" i="2"/>
  <c r="BB77" i="2"/>
  <c r="BD77" i="2"/>
  <c r="BB78" i="2"/>
  <c r="BD78" i="2"/>
  <c r="BB79" i="2"/>
  <c r="BD79" i="2"/>
  <c r="BB80" i="2"/>
  <c r="BD80" i="2"/>
  <c r="BB81" i="2"/>
  <c r="BD81" i="2"/>
  <c r="BB82" i="2"/>
  <c r="BD82" i="2"/>
  <c r="BB83" i="2"/>
  <c r="BD83" i="2"/>
  <c r="BB84" i="2"/>
  <c r="BD84" i="2"/>
  <c r="BB85" i="2"/>
  <c r="BD85" i="2"/>
  <c r="BB86" i="2"/>
  <c r="BD86" i="2"/>
  <c r="BB87" i="2"/>
  <c r="BD87" i="2"/>
  <c r="BB88" i="2"/>
  <c r="BD88" i="2"/>
  <c r="BB89" i="2"/>
  <c r="BD89" i="2"/>
  <c r="BB90" i="2"/>
  <c r="BD90" i="2"/>
  <c r="BB91" i="2"/>
  <c r="BD91" i="2"/>
  <c r="BB92" i="2"/>
  <c r="BD92" i="2"/>
  <c r="BB93" i="2"/>
  <c r="BD93" i="2"/>
  <c r="BB94" i="2"/>
  <c r="BD94" i="2"/>
  <c r="BB95" i="2"/>
  <c r="BD95" i="2"/>
  <c r="BB96" i="2"/>
  <c r="BD96" i="2"/>
  <c r="BB97" i="2"/>
  <c r="BD97" i="2"/>
  <c r="BB98" i="2"/>
  <c r="BD98" i="2"/>
  <c r="BB99" i="2"/>
  <c r="BD99" i="2"/>
  <c r="BB100" i="2"/>
  <c r="BD100" i="2"/>
  <c r="BB101" i="2"/>
  <c r="BD101" i="2"/>
  <c r="BB102" i="2"/>
  <c r="BD102" i="2"/>
  <c r="BB103" i="2"/>
  <c r="BD103" i="2"/>
  <c r="BB104" i="2"/>
  <c r="BD104" i="2"/>
  <c r="BB105" i="2"/>
  <c r="BD105" i="2"/>
  <c r="BB106" i="2"/>
  <c r="BD106" i="2"/>
  <c r="BB107" i="2"/>
  <c r="BD107" i="2"/>
  <c r="BB108" i="2"/>
  <c r="BD108" i="2"/>
  <c r="BB109" i="2"/>
  <c r="BD109" i="2"/>
  <c r="BB110" i="2"/>
  <c r="BD110" i="2"/>
  <c r="BB111" i="2"/>
  <c r="BD111" i="2"/>
  <c r="BB112" i="2"/>
  <c r="BD112" i="2"/>
  <c r="BB113" i="2"/>
  <c r="BD113" i="2"/>
  <c r="BB114" i="2"/>
  <c r="BD114" i="2"/>
  <c r="BB115" i="2"/>
  <c r="BD115" i="2"/>
  <c r="BB116" i="2"/>
  <c r="BD116" i="2"/>
  <c r="BB117" i="2"/>
  <c r="BD117" i="2"/>
  <c r="BB118" i="2"/>
  <c r="BD118" i="2"/>
  <c r="BB119" i="2"/>
  <c r="BD119" i="2"/>
  <c r="BB120" i="2"/>
  <c r="BD120" i="2"/>
  <c r="BB121" i="2"/>
  <c r="BD121" i="2"/>
  <c r="BB122" i="2"/>
  <c r="BD122" i="2"/>
  <c r="BB123" i="2"/>
  <c r="BD123" i="2"/>
  <c r="BB124" i="2"/>
  <c r="BD124" i="2"/>
  <c r="BB125" i="2"/>
  <c r="BD125" i="2"/>
  <c r="BB126" i="2"/>
  <c r="BD126" i="2"/>
  <c r="BB127" i="2"/>
  <c r="BD127" i="2"/>
  <c r="BB128" i="2"/>
  <c r="BD128" i="2"/>
  <c r="BB129" i="2"/>
  <c r="BD129" i="2"/>
  <c r="BB130" i="2"/>
  <c r="BD130" i="2"/>
  <c r="BB131" i="2"/>
  <c r="BD131" i="2"/>
  <c r="BB132" i="2"/>
  <c r="BD132" i="2"/>
  <c r="BB133" i="2"/>
  <c r="BD133" i="2"/>
  <c r="BB134" i="2"/>
  <c r="BD134" i="2"/>
  <c r="BB135" i="2"/>
  <c r="BD135" i="2"/>
  <c r="BB136" i="2"/>
  <c r="BD136" i="2"/>
  <c r="BB137" i="2"/>
  <c r="BD137" i="2"/>
  <c r="BB138" i="2"/>
  <c r="BD138" i="2"/>
  <c r="BB139" i="2"/>
  <c r="BD139" i="2"/>
  <c r="BB140" i="2"/>
  <c r="BD140" i="2"/>
  <c r="BB141" i="2"/>
  <c r="BD141" i="2"/>
  <c r="BB142" i="2"/>
  <c r="BD142" i="2"/>
  <c r="BB143" i="2"/>
  <c r="BD143" i="2"/>
  <c r="BB144" i="2"/>
  <c r="BD144" i="2"/>
  <c r="BB145" i="2"/>
  <c r="BD145" i="2"/>
  <c r="BB146" i="2"/>
  <c r="BD146" i="2"/>
  <c r="BB147" i="2"/>
  <c r="BD147" i="2"/>
  <c r="BB148" i="2"/>
  <c r="BD148" i="2"/>
  <c r="BB149" i="2"/>
  <c r="BD149" i="2"/>
  <c r="BB150" i="2"/>
  <c r="BD150" i="2"/>
  <c r="BB151" i="2"/>
  <c r="BD151" i="2"/>
  <c r="BB152" i="2"/>
  <c r="BD152" i="2"/>
  <c r="BB153" i="2"/>
  <c r="BD153" i="2"/>
  <c r="BB154" i="2"/>
  <c r="BD154" i="2"/>
  <c r="BB155" i="2"/>
  <c r="BD155" i="2"/>
  <c r="BB156" i="2"/>
  <c r="BD156" i="2"/>
  <c r="BB157" i="2"/>
  <c r="BD157" i="2"/>
  <c r="BB158" i="2"/>
  <c r="BD158" i="2"/>
  <c r="BB159" i="2"/>
  <c r="BD159" i="2"/>
  <c r="BB160" i="2"/>
  <c r="BD160" i="2"/>
  <c r="BB161" i="2"/>
  <c r="BD161" i="2"/>
  <c r="BB162" i="2"/>
  <c r="BD162" i="2"/>
  <c r="BB163" i="2"/>
  <c r="BD163" i="2"/>
  <c r="BB164" i="2"/>
  <c r="BD164" i="2"/>
  <c r="BB165" i="2"/>
  <c r="BD165" i="2"/>
  <c r="BB166" i="2"/>
  <c r="BD166" i="2"/>
  <c r="BB167" i="2"/>
  <c r="BD167" i="2"/>
  <c r="BB168" i="2"/>
  <c r="BD168" i="2"/>
  <c r="BB169" i="2"/>
  <c r="BD169" i="2"/>
  <c r="BB170" i="2"/>
  <c r="BD170" i="2"/>
  <c r="BB171" i="2"/>
  <c r="BD171" i="2"/>
  <c r="BB172" i="2"/>
  <c r="BD172" i="2"/>
  <c r="BB173" i="2"/>
  <c r="BD173" i="2"/>
  <c r="BB174" i="2"/>
  <c r="BD174" i="2"/>
  <c r="BB175" i="2"/>
  <c r="BD175" i="2"/>
  <c r="BB176" i="2"/>
  <c r="BD176" i="2"/>
  <c r="BB177" i="2"/>
  <c r="BD177" i="2"/>
  <c r="BB178" i="2"/>
  <c r="BD178" i="2"/>
  <c r="BB179" i="2"/>
  <c r="BD179" i="2"/>
  <c r="BB180" i="2"/>
  <c r="BD180" i="2"/>
  <c r="BB181" i="2"/>
  <c r="BD181" i="2"/>
  <c r="BB182" i="2"/>
  <c r="BD182" i="2"/>
  <c r="BB183" i="2"/>
  <c r="BD183" i="2"/>
  <c r="BB184" i="2"/>
  <c r="BD184" i="2"/>
  <c r="BB185" i="2"/>
  <c r="BD185" i="2"/>
  <c r="BB186" i="2"/>
  <c r="BD186" i="2"/>
  <c r="BB187" i="2"/>
  <c r="BD187" i="2"/>
  <c r="BB188" i="2"/>
  <c r="BD188" i="2"/>
  <c r="BB189" i="2"/>
  <c r="BD189" i="2"/>
  <c r="BB190" i="2"/>
  <c r="BD190" i="2"/>
  <c r="BB191" i="2"/>
  <c r="BD191" i="2"/>
  <c r="BB192" i="2"/>
  <c r="BD192" i="2"/>
  <c r="BB193" i="2"/>
  <c r="BD193" i="2"/>
  <c r="BB194" i="2"/>
  <c r="BD194" i="2"/>
  <c r="BB195" i="2"/>
  <c r="BD195" i="2"/>
  <c r="BB196" i="2"/>
  <c r="BD196" i="2"/>
  <c r="BB197" i="2"/>
  <c r="BD197" i="2"/>
  <c r="BB198" i="2"/>
  <c r="BD198" i="2"/>
  <c r="BB199" i="2"/>
  <c r="BD199" i="2"/>
  <c r="BB200" i="2"/>
  <c r="BD200" i="2"/>
  <c r="BB201" i="2"/>
  <c r="BD201" i="2"/>
  <c r="BB202" i="2"/>
  <c r="BD202" i="2"/>
  <c r="BB203" i="2"/>
  <c r="BD203" i="2"/>
  <c r="BB204" i="2"/>
  <c r="BD204" i="2"/>
  <c r="BB205" i="2"/>
  <c r="BD205" i="2"/>
  <c r="BB206" i="2"/>
  <c r="BD206" i="2"/>
  <c r="BB207" i="2"/>
  <c r="BD207" i="2"/>
  <c r="BB208" i="2"/>
  <c r="BD208" i="2"/>
  <c r="BB209" i="2"/>
  <c r="BD209" i="2"/>
  <c r="BB210" i="2"/>
  <c r="BD210" i="2"/>
  <c r="BB211" i="2"/>
  <c r="BD211" i="2"/>
  <c r="BB212" i="2"/>
  <c r="BD212" i="2"/>
  <c r="BB213" i="2"/>
  <c r="BD213" i="2"/>
  <c r="BB214" i="2"/>
  <c r="BD214" i="2"/>
  <c r="BB215" i="2"/>
  <c r="BD215" i="2"/>
  <c r="BB216" i="2"/>
  <c r="BD216" i="2"/>
  <c r="BB217" i="2"/>
  <c r="BD217" i="2"/>
  <c r="BB218" i="2"/>
  <c r="BD218" i="2"/>
  <c r="BB219" i="2"/>
  <c r="BD219" i="2"/>
  <c r="BB220" i="2"/>
  <c r="BD220" i="2"/>
  <c r="BB221" i="2"/>
  <c r="BD221" i="2"/>
  <c r="BB222" i="2"/>
  <c r="BD222" i="2"/>
  <c r="BB223" i="2"/>
  <c r="BD223" i="2"/>
  <c r="BB224" i="2"/>
  <c r="BD224" i="2"/>
  <c r="BB225" i="2"/>
  <c r="BD225" i="2"/>
  <c r="BB226" i="2"/>
  <c r="BD226" i="2"/>
  <c r="BB227" i="2"/>
  <c r="BD227" i="2"/>
  <c r="BB228" i="2"/>
  <c r="BD228" i="2"/>
  <c r="BB229" i="2"/>
  <c r="BD229" i="2"/>
  <c r="BB230" i="2"/>
  <c r="BD230" i="2"/>
  <c r="BB231" i="2"/>
  <c r="BD231" i="2"/>
  <c r="BB232" i="2"/>
  <c r="BD232" i="2"/>
  <c r="BB233" i="2"/>
  <c r="BD233" i="2"/>
  <c r="BB234" i="2"/>
  <c r="BD234" i="2"/>
  <c r="BB235" i="2"/>
  <c r="BD235" i="2"/>
  <c r="BB236" i="2"/>
  <c r="BD236" i="2"/>
  <c r="BB237" i="2"/>
  <c r="BD237" i="2"/>
  <c r="BB238" i="2"/>
  <c r="BD238" i="2"/>
  <c r="BB239" i="2"/>
  <c r="BD239" i="2"/>
  <c r="BB240" i="2"/>
  <c r="BD240" i="2"/>
  <c r="BB241" i="2"/>
  <c r="BD241" i="2"/>
  <c r="BB242" i="2"/>
  <c r="BD242" i="2"/>
  <c r="BB243" i="2"/>
  <c r="BD243" i="2"/>
  <c r="BB244" i="2"/>
  <c r="BD244" i="2"/>
  <c r="BB245" i="2"/>
  <c r="BD245" i="2"/>
  <c r="BB246" i="2"/>
  <c r="BD246" i="2"/>
  <c r="BB247" i="2"/>
  <c r="BD247" i="2"/>
  <c r="BB248" i="2"/>
  <c r="BD248" i="2"/>
  <c r="BB249" i="2"/>
  <c r="BD249" i="2"/>
  <c r="BB250" i="2"/>
  <c r="BD250" i="2"/>
  <c r="BB251" i="2"/>
  <c r="BD251" i="2"/>
  <c r="BB252" i="2"/>
  <c r="BD252" i="2"/>
  <c r="BB253" i="2"/>
  <c r="BD253" i="2"/>
  <c r="BB254" i="2"/>
  <c r="BD254" i="2"/>
  <c r="BB255" i="2"/>
  <c r="BD255" i="2"/>
  <c r="BB256" i="2"/>
  <c r="BD256" i="2"/>
  <c r="BB257" i="2"/>
  <c r="BD257" i="2"/>
  <c r="BB258" i="2"/>
  <c r="BD258" i="2"/>
  <c r="BB259" i="2"/>
  <c r="BD259" i="2"/>
  <c r="BB260" i="2"/>
  <c r="BD260" i="2"/>
  <c r="BB261" i="2"/>
  <c r="BD261" i="2"/>
  <c r="BB262" i="2"/>
  <c r="BD262" i="2"/>
  <c r="BB263" i="2"/>
  <c r="BD263" i="2"/>
  <c r="BB264" i="2"/>
  <c r="BD264" i="2"/>
  <c r="BB265" i="2"/>
  <c r="BD265" i="2"/>
  <c r="BB266" i="2"/>
  <c r="BD266" i="2"/>
  <c r="BB267" i="2"/>
  <c r="BD267" i="2"/>
  <c r="BB268" i="2"/>
  <c r="BD268" i="2"/>
  <c r="BB269" i="2"/>
  <c r="BD269" i="2"/>
  <c r="BB270" i="2"/>
  <c r="BD270" i="2"/>
  <c r="BB271" i="2"/>
  <c r="BD271" i="2"/>
  <c r="BB272" i="2"/>
  <c r="BD272" i="2"/>
  <c r="BB273" i="2"/>
  <c r="BD273" i="2"/>
  <c r="BB274" i="2"/>
  <c r="BD274" i="2"/>
  <c r="BB275" i="2"/>
  <c r="BD275" i="2"/>
  <c r="BB276" i="2"/>
  <c r="BD276" i="2"/>
  <c r="BB277" i="2"/>
  <c r="BD277" i="2"/>
  <c r="BB278" i="2"/>
  <c r="BD278" i="2"/>
  <c r="BB279" i="2"/>
  <c r="BD279" i="2"/>
  <c r="BB280" i="2"/>
  <c r="BD280" i="2"/>
  <c r="BB281" i="2"/>
  <c r="BD281" i="2"/>
  <c r="BB282" i="2"/>
  <c r="BD282" i="2"/>
  <c r="BB283" i="2"/>
  <c r="BD283" i="2"/>
  <c r="BB284" i="2"/>
  <c r="BD284" i="2"/>
  <c r="BB285" i="2"/>
  <c r="BD285" i="2"/>
  <c r="BB286" i="2"/>
  <c r="BD286" i="2"/>
  <c r="BB287" i="2"/>
  <c r="BD287" i="2"/>
  <c r="BB288" i="2"/>
  <c r="BD288" i="2"/>
  <c r="BB289" i="2"/>
  <c r="BD289" i="2"/>
  <c r="BB290" i="2"/>
  <c r="BD290" i="2"/>
  <c r="BB291" i="2"/>
  <c r="BD291" i="2"/>
  <c r="BB292" i="2"/>
  <c r="BD292" i="2"/>
  <c r="BB293" i="2"/>
  <c r="BD293" i="2"/>
  <c r="BB294" i="2"/>
  <c r="BD294" i="2"/>
  <c r="BB295" i="2"/>
  <c r="BD295" i="2"/>
  <c r="BB296" i="2"/>
  <c r="BD296" i="2"/>
  <c r="BB297" i="2"/>
  <c r="BD297" i="2"/>
  <c r="BB298" i="2"/>
  <c r="BD298" i="2"/>
  <c r="BB299" i="2"/>
  <c r="BD299" i="2"/>
  <c r="BB300" i="2"/>
  <c r="BD300" i="2"/>
  <c r="BB301" i="2"/>
  <c r="BD301" i="2"/>
  <c r="BB302" i="2"/>
  <c r="BD302" i="2"/>
  <c r="BB303" i="2"/>
  <c r="BD303" i="2"/>
  <c r="BB304" i="2"/>
  <c r="BD304" i="2"/>
  <c r="BB305" i="2"/>
  <c r="BD305" i="2"/>
  <c r="BB306" i="2"/>
  <c r="BD306" i="2"/>
  <c r="BB307" i="2"/>
  <c r="BD307" i="2"/>
  <c r="BB308" i="2"/>
  <c r="BD308" i="2"/>
  <c r="BB309" i="2"/>
  <c r="BD309" i="2"/>
  <c r="BB310" i="2"/>
  <c r="BD310" i="2"/>
  <c r="BB311" i="2"/>
  <c r="BD311" i="2"/>
  <c r="BB312" i="2"/>
  <c r="BD312" i="2"/>
  <c r="BB313" i="2"/>
  <c r="BD313" i="2"/>
  <c r="BB314" i="2"/>
  <c r="BD314" i="2"/>
  <c r="BB315" i="2"/>
  <c r="BD315" i="2"/>
  <c r="BB316" i="2"/>
  <c r="BD316" i="2"/>
  <c r="BB317" i="2"/>
  <c r="BD317" i="2"/>
  <c r="BB318" i="2"/>
  <c r="BD318" i="2"/>
  <c r="BB319" i="2"/>
  <c r="BD319" i="2"/>
  <c r="BB320" i="2"/>
  <c r="BD320" i="2"/>
  <c r="BB321" i="2"/>
  <c r="BD321" i="2"/>
  <c r="BB322" i="2"/>
  <c r="BD322" i="2"/>
  <c r="BB323" i="2"/>
  <c r="BD323" i="2"/>
  <c r="BB324" i="2"/>
  <c r="BD324" i="2"/>
  <c r="BB325" i="2"/>
  <c r="BD325" i="2"/>
  <c r="BB326" i="2"/>
  <c r="BD326" i="2"/>
  <c r="BB327" i="2"/>
  <c r="BD327" i="2"/>
  <c r="BB328" i="2"/>
  <c r="BD328" i="2"/>
  <c r="BB329" i="2"/>
  <c r="BD329" i="2"/>
  <c r="BB330" i="2"/>
  <c r="BD330" i="2"/>
  <c r="BB331" i="2"/>
  <c r="BD331" i="2"/>
  <c r="BB332" i="2"/>
  <c r="BD332" i="2"/>
  <c r="BB333" i="2"/>
  <c r="BD333" i="2"/>
  <c r="BB334" i="2"/>
  <c r="BD334" i="2"/>
  <c r="BB335" i="2"/>
  <c r="BD335" i="2"/>
  <c r="BB336" i="2"/>
  <c r="BD336" i="2"/>
  <c r="BB337" i="2"/>
  <c r="BD337" i="2"/>
  <c r="BB338" i="2"/>
  <c r="BD338" i="2"/>
  <c r="BB339" i="2"/>
  <c r="BD339" i="2"/>
  <c r="BB340" i="2"/>
  <c r="BD340" i="2"/>
  <c r="BB341" i="2"/>
  <c r="BD341" i="2"/>
  <c r="BB342" i="2"/>
  <c r="BD342" i="2"/>
  <c r="BB343" i="2"/>
  <c r="BD343" i="2"/>
  <c r="BB344" i="2"/>
  <c r="BD344" i="2"/>
  <c r="BB345" i="2"/>
  <c r="BD345" i="2"/>
  <c r="BB346" i="2"/>
  <c r="BD346" i="2"/>
  <c r="BB347" i="2"/>
  <c r="BD347" i="2"/>
  <c r="BB348" i="2"/>
  <c r="BD348" i="2"/>
  <c r="BB349" i="2"/>
  <c r="BD349" i="2"/>
  <c r="BB350" i="2"/>
  <c r="BD350" i="2"/>
  <c r="BB351" i="2"/>
  <c r="BD351" i="2"/>
  <c r="BB352" i="2"/>
  <c r="BD352" i="2"/>
  <c r="BB353" i="2"/>
  <c r="BD353" i="2"/>
  <c r="BB354" i="2"/>
  <c r="BD354" i="2"/>
  <c r="BB355" i="2"/>
  <c r="BD355" i="2"/>
  <c r="BB356" i="2"/>
  <c r="BD356" i="2"/>
  <c r="BB357" i="2"/>
  <c r="BD357" i="2"/>
  <c r="BB358" i="2"/>
  <c r="BD358" i="2"/>
  <c r="BB359" i="2"/>
  <c r="BD359" i="2"/>
  <c r="BB360" i="2"/>
  <c r="BD360" i="2"/>
  <c r="BB361" i="2"/>
  <c r="BD361" i="2"/>
  <c r="BB362" i="2"/>
  <c r="BD362" i="2"/>
  <c r="BB363" i="2"/>
  <c r="BD363" i="2"/>
  <c r="BB364" i="2"/>
  <c r="BD364" i="2"/>
  <c r="BB365" i="2"/>
  <c r="BD365" i="2"/>
  <c r="BB366" i="2"/>
  <c r="BD366" i="2"/>
  <c r="BB367" i="2"/>
  <c r="BD367" i="2"/>
  <c r="BB368" i="2"/>
  <c r="BD368" i="2"/>
  <c r="BB369" i="2"/>
  <c r="BD369" i="2"/>
  <c r="BB370" i="2"/>
  <c r="BD370" i="2"/>
  <c r="BB371" i="2"/>
  <c r="BD371" i="2"/>
  <c r="BB372" i="2"/>
  <c r="BD372" i="2"/>
  <c r="BB373" i="2"/>
  <c r="BD373" i="2"/>
  <c r="BB374" i="2"/>
  <c r="BD374" i="2"/>
  <c r="BB375" i="2"/>
  <c r="BD375" i="2"/>
  <c r="BB376" i="2"/>
  <c r="BD376" i="2"/>
  <c r="BB377" i="2"/>
  <c r="BD377" i="2"/>
  <c r="BB378" i="2"/>
  <c r="BD378" i="2"/>
  <c r="BB379" i="2"/>
  <c r="BD379" i="2"/>
  <c r="BB380" i="2"/>
  <c r="BD380" i="2"/>
  <c r="BB381" i="2"/>
  <c r="BD381" i="2"/>
  <c r="BB382" i="2"/>
  <c r="BD382" i="2"/>
  <c r="BB383" i="2"/>
  <c r="BD383" i="2"/>
  <c r="BB384" i="2"/>
  <c r="BD384" i="2"/>
  <c r="BB385" i="2"/>
  <c r="BD385" i="2"/>
  <c r="BB386" i="2"/>
  <c r="BD386" i="2"/>
  <c r="BB387" i="2"/>
  <c r="BD387" i="2"/>
  <c r="BB388" i="2"/>
  <c r="BD388" i="2"/>
  <c r="BB389" i="2"/>
  <c r="BD389" i="2"/>
  <c r="BB390" i="2"/>
  <c r="BD390" i="2"/>
  <c r="BB391" i="2"/>
  <c r="BD391" i="2"/>
  <c r="BB392" i="2"/>
  <c r="BD392" i="2"/>
  <c r="BB393" i="2"/>
  <c r="BD393" i="2"/>
  <c r="BB394" i="2"/>
  <c r="BD394" i="2"/>
  <c r="BB395" i="2"/>
  <c r="BD395" i="2"/>
  <c r="BB396" i="2"/>
  <c r="BD396" i="2"/>
  <c r="BB397" i="2"/>
  <c r="BD397" i="2"/>
  <c r="BB398" i="2"/>
  <c r="BD398" i="2"/>
  <c r="BB399" i="2"/>
  <c r="BD399" i="2"/>
  <c r="BB400" i="2"/>
  <c r="BD400" i="2"/>
  <c r="BB401" i="2"/>
  <c r="BD401" i="2"/>
  <c r="BB402" i="2"/>
  <c r="BD402" i="2"/>
  <c r="BB403" i="2"/>
  <c r="BD403" i="2"/>
  <c r="BB404" i="2"/>
  <c r="BD404" i="2"/>
  <c r="BB405" i="2"/>
  <c r="BD405" i="2"/>
  <c r="BB406" i="2"/>
  <c r="BD406" i="2"/>
  <c r="BB407" i="2"/>
  <c r="BD407" i="2"/>
  <c r="BB408" i="2"/>
  <c r="BD408" i="2"/>
  <c r="BB409" i="2"/>
  <c r="BD409" i="2"/>
  <c r="BB410" i="2"/>
  <c r="BD410" i="2"/>
  <c r="BB411" i="2"/>
  <c r="BD411" i="2"/>
  <c r="BB412" i="2"/>
  <c r="BD412" i="2"/>
  <c r="BB413" i="2"/>
  <c r="BD413" i="2"/>
  <c r="BB414" i="2"/>
  <c r="BD414" i="2"/>
  <c r="BB415" i="2"/>
  <c r="BD415" i="2"/>
  <c r="BB416" i="2"/>
  <c r="BD416" i="2"/>
  <c r="BB417" i="2"/>
  <c r="BD417" i="2"/>
  <c r="BB418" i="2"/>
  <c r="BD418" i="2"/>
  <c r="BB419" i="2"/>
  <c r="BD419" i="2"/>
  <c r="BB420" i="2"/>
  <c r="BD420" i="2"/>
  <c r="BB421" i="2"/>
  <c r="BD421" i="2"/>
  <c r="BB422" i="2"/>
  <c r="BD422" i="2"/>
  <c r="BB423" i="2"/>
  <c r="BD423" i="2"/>
  <c r="BB424" i="2"/>
  <c r="BD424" i="2"/>
  <c r="BB425" i="2"/>
  <c r="BD425" i="2"/>
  <c r="BB426" i="2"/>
  <c r="BD426" i="2"/>
  <c r="BB427" i="2"/>
  <c r="BD427" i="2"/>
  <c r="BB428" i="2"/>
  <c r="BD428" i="2"/>
  <c r="BB429" i="2"/>
  <c r="BD429" i="2"/>
  <c r="BB430" i="2"/>
  <c r="BD430" i="2"/>
  <c r="BB431" i="2"/>
  <c r="BD431" i="2"/>
  <c r="BB432" i="2"/>
  <c r="BD432" i="2"/>
  <c r="BB433" i="2"/>
  <c r="BD433" i="2"/>
  <c r="BB434" i="2"/>
  <c r="BD434" i="2"/>
  <c r="BB435" i="2"/>
  <c r="BD435" i="2"/>
  <c r="BB436" i="2"/>
  <c r="BD436" i="2"/>
  <c r="BB437" i="2"/>
  <c r="BD437" i="2"/>
  <c r="BB438" i="2"/>
  <c r="BD438" i="2"/>
  <c r="BB439" i="2"/>
  <c r="BD439" i="2"/>
  <c r="BB440" i="2"/>
  <c r="BD440" i="2"/>
  <c r="BB441" i="2"/>
  <c r="BD441" i="2"/>
  <c r="BB442" i="2"/>
  <c r="BD442" i="2"/>
  <c r="BB443" i="2"/>
  <c r="BD443" i="2"/>
  <c r="BB444" i="2"/>
  <c r="BD444" i="2"/>
  <c r="BB445" i="2"/>
  <c r="BD445" i="2"/>
  <c r="BB446" i="2"/>
  <c r="BD446" i="2"/>
  <c r="BB447" i="2"/>
  <c r="BD447" i="2"/>
  <c r="BB448" i="2"/>
  <c r="BD448" i="2"/>
  <c r="BB449" i="2"/>
  <c r="BD449" i="2"/>
  <c r="BB450" i="2"/>
  <c r="BD450" i="2"/>
  <c r="BB451" i="2"/>
  <c r="BD451" i="2"/>
  <c r="BB452" i="2"/>
  <c r="BD452" i="2"/>
  <c r="BB453" i="2"/>
  <c r="BD453" i="2"/>
  <c r="BB454" i="2"/>
  <c r="BD454" i="2"/>
  <c r="BB455" i="2"/>
  <c r="BD455" i="2"/>
  <c r="BB456" i="2"/>
  <c r="BD456" i="2"/>
  <c r="BB457" i="2"/>
  <c r="BD457" i="2"/>
  <c r="BB458" i="2"/>
  <c r="BD458" i="2"/>
  <c r="BB459" i="2"/>
  <c r="BD459" i="2"/>
  <c r="BB460" i="2"/>
  <c r="BD460" i="2"/>
  <c r="BB461" i="2"/>
  <c r="BD461" i="2"/>
  <c r="BB462" i="2"/>
  <c r="BD462" i="2"/>
  <c r="BB463" i="2"/>
  <c r="BD463" i="2"/>
  <c r="BB464" i="2"/>
  <c r="BD464" i="2"/>
  <c r="BB465" i="2"/>
  <c r="BD465" i="2"/>
  <c r="BB466" i="2"/>
  <c r="BD466" i="2"/>
  <c r="BB467" i="2"/>
  <c r="BD467" i="2"/>
  <c r="BB468" i="2"/>
  <c r="BD468" i="2"/>
  <c r="BB469" i="2"/>
  <c r="BD469" i="2"/>
  <c r="BB470" i="2"/>
  <c r="BD470" i="2"/>
  <c r="BB471" i="2"/>
  <c r="BD471" i="2"/>
  <c r="BB472" i="2"/>
  <c r="BD472" i="2"/>
  <c r="BB473" i="2"/>
  <c r="BD473" i="2"/>
  <c r="BB474" i="2"/>
  <c r="BD474" i="2"/>
  <c r="BB475" i="2"/>
  <c r="BD475" i="2"/>
  <c r="BB476" i="2"/>
  <c r="BD476" i="2"/>
  <c r="BB477" i="2"/>
  <c r="BD477" i="2"/>
  <c r="BB478" i="2"/>
  <c r="BD478" i="2"/>
  <c r="BB479" i="2"/>
  <c r="BD479" i="2"/>
  <c r="BB480" i="2"/>
  <c r="BD480" i="2"/>
  <c r="BB481" i="2"/>
  <c r="BD481" i="2"/>
  <c r="BB482" i="2"/>
  <c r="BD482" i="2"/>
  <c r="BB483" i="2"/>
  <c r="BD483" i="2"/>
  <c r="BB484" i="2"/>
  <c r="BD484" i="2"/>
  <c r="BB485" i="2"/>
  <c r="BD485" i="2"/>
  <c r="BB486" i="2"/>
  <c r="BD486" i="2"/>
  <c r="BB487" i="2"/>
  <c r="BD487" i="2"/>
  <c r="BB488" i="2"/>
  <c r="BD488" i="2"/>
  <c r="BB489" i="2"/>
  <c r="BD489" i="2"/>
  <c r="BB490" i="2"/>
  <c r="BD490" i="2"/>
  <c r="BB491" i="2"/>
  <c r="BD491" i="2"/>
  <c r="BB492" i="2"/>
  <c r="BD492" i="2"/>
  <c r="BB493" i="2"/>
  <c r="BD493" i="2"/>
  <c r="BB494" i="2"/>
  <c r="BD494" i="2"/>
  <c r="BB495" i="2"/>
  <c r="BD495" i="2"/>
  <c r="BB496" i="2"/>
  <c r="BD496" i="2"/>
  <c r="BB497" i="2"/>
  <c r="BD497" i="2"/>
  <c r="BB498" i="2"/>
  <c r="BD498" i="2"/>
  <c r="BB499" i="2"/>
  <c r="BD499" i="2"/>
  <c r="BB500" i="2"/>
  <c r="BD500" i="2"/>
  <c r="BB501" i="2"/>
  <c r="BD501" i="2"/>
  <c r="BG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13" i="2"/>
  <c r="BF13" i="2"/>
  <c r="BF14" i="2"/>
  <c r="BG14" i="2"/>
  <c r="BF15" i="2"/>
  <c r="BG15" i="2"/>
  <c r="BF16" i="2"/>
  <c r="BG16" i="2"/>
  <c r="BF17" i="2"/>
  <c r="BG17" i="2"/>
  <c r="BF18" i="2"/>
  <c r="BG18" i="2"/>
  <c r="BF19" i="2"/>
  <c r="BG19" i="2"/>
  <c r="BF20" i="2"/>
  <c r="BG20" i="2"/>
  <c r="BF21" i="2"/>
  <c r="BG21" i="2"/>
  <c r="BF22" i="2"/>
  <c r="BG22" i="2"/>
  <c r="BF23" i="2"/>
  <c r="BG23" i="2"/>
  <c r="BF24" i="2"/>
  <c r="BG24" i="2"/>
  <c r="BF25" i="2"/>
  <c r="BG25" i="2"/>
  <c r="BF26" i="2"/>
  <c r="BG26" i="2"/>
  <c r="BF27" i="2"/>
  <c r="BG27" i="2"/>
  <c r="BF28" i="2"/>
  <c r="BG28" i="2"/>
  <c r="BF29" i="2"/>
  <c r="BG29" i="2"/>
  <c r="BF30" i="2"/>
  <c r="BG30" i="2"/>
  <c r="BF31" i="2"/>
  <c r="BG31" i="2"/>
  <c r="BF32" i="2"/>
  <c r="BG32" i="2"/>
  <c r="BF33" i="2"/>
  <c r="BG33" i="2"/>
  <c r="BF34" i="2"/>
  <c r="BG34" i="2"/>
  <c r="BF35" i="2"/>
  <c r="BG35" i="2"/>
  <c r="BF36" i="2"/>
  <c r="BG36" i="2"/>
  <c r="BF37" i="2"/>
  <c r="BG37" i="2"/>
  <c r="BF38" i="2"/>
  <c r="BG38" i="2"/>
  <c r="BF39" i="2"/>
  <c r="BG39" i="2"/>
  <c r="BF40" i="2"/>
  <c r="BG40" i="2"/>
  <c r="BF41" i="2"/>
  <c r="BG41" i="2"/>
  <c r="BF42" i="2"/>
  <c r="BG42" i="2"/>
  <c r="BF43" i="2"/>
  <c r="BG43" i="2"/>
  <c r="BF44" i="2"/>
  <c r="BG44" i="2"/>
  <c r="BF45" i="2"/>
  <c r="BG45" i="2"/>
  <c r="BF46" i="2"/>
  <c r="BG46" i="2"/>
  <c r="BF47" i="2"/>
  <c r="BG47" i="2"/>
  <c r="BF48" i="2"/>
  <c r="BG48" i="2"/>
  <c r="BF49" i="2"/>
  <c r="BG49" i="2"/>
  <c r="BF50" i="2"/>
  <c r="BG50" i="2"/>
  <c r="BF51" i="2"/>
  <c r="BG51" i="2"/>
  <c r="BF52" i="2"/>
  <c r="BG52" i="2"/>
  <c r="BF53" i="2"/>
  <c r="BG53" i="2"/>
  <c r="BF54" i="2"/>
  <c r="BG54" i="2"/>
  <c r="BF55" i="2"/>
  <c r="BG55" i="2"/>
  <c r="BF56" i="2"/>
  <c r="BG56" i="2"/>
  <c r="BF57" i="2"/>
  <c r="BG57" i="2"/>
  <c r="BF58" i="2"/>
  <c r="BG58" i="2"/>
  <c r="BF59" i="2"/>
  <c r="BG59" i="2"/>
  <c r="BF60" i="2"/>
  <c r="BG60" i="2"/>
  <c r="BF61" i="2"/>
  <c r="BG61" i="2"/>
  <c r="BF62" i="2"/>
  <c r="BG62" i="2"/>
  <c r="BF63" i="2"/>
  <c r="BG63" i="2"/>
  <c r="BF64" i="2"/>
  <c r="BG64" i="2"/>
  <c r="BF65" i="2"/>
  <c r="BG65" i="2"/>
  <c r="BF66" i="2"/>
  <c r="BG66" i="2"/>
  <c r="BF67" i="2"/>
  <c r="BG67" i="2"/>
  <c r="BF68" i="2"/>
  <c r="BG68" i="2"/>
  <c r="BF69" i="2"/>
  <c r="BG69" i="2"/>
  <c r="BF70" i="2"/>
  <c r="BG70" i="2"/>
  <c r="BF71" i="2"/>
  <c r="BG71" i="2"/>
  <c r="BF72" i="2"/>
  <c r="BG72" i="2"/>
  <c r="BF73" i="2"/>
  <c r="BG73" i="2"/>
  <c r="BF74" i="2"/>
  <c r="BG74" i="2"/>
  <c r="BF75" i="2"/>
  <c r="BG75" i="2"/>
  <c r="BF76" i="2"/>
  <c r="BG76" i="2"/>
  <c r="BF77" i="2"/>
  <c r="BG77" i="2"/>
  <c r="BF78" i="2"/>
  <c r="BG78" i="2"/>
  <c r="BF79" i="2"/>
  <c r="BG79" i="2"/>
  <c r="BF80" i="2"/>
  <c r="BG80" i="2"/>
  <c r="BF81" i="2"/>
  <c r="BG81" i="2"/>
  <c r="BF82" i="2"/>
  <c r="BG82" i="2"/>
  <c r="BF83" i="2"/>
  <c r="BG83" i="2"/>
  <c r="BF84" i="2"/>
  <c r="BG84" i="2"/>
  <c r="BF85" i="2"/>
  <c r="BG85" i="2"/>
  <c r="BF86" i="2"/>
  <c r="BG86" i="2"/>
  <c r="BF87" i="2"/>
  <c r="BG87" i="2"/>
  <c r="BF88" i="2"/>
  <c r="BG88" i="2"/>
  <c r="BF89" i="2"/>
  <c r="BG89" i="2"/>
  <c r="BF90" i="2"/>
  <c r="BG90" i="2"/>
  <c r="BF91" i="2"/>
  <c r="BG91" i="2"/>
  <c r="BF92" i="2"/>
  <c r="BG92" i="2"/>
  <c r="BF93" i="2"/>
  <c r="BG93" i="2"/>
  <c r="BF94" i="2"/>
  <c r="BG94" i="2"/>
  <c r="BF95" i="2"/>
  <c r="BG95" i="2"/>
  <c r="BF96" i="2"/>
  <c r="BG96" i="2"/>
  <c r="BF97" i="2"/>
  <c r="BG97" i="2"/>
  <c r="BF98" i="2"/>
  <c r="BG98" i="2"/>
  <c r="BF99" i="2"/>
  <c r="BG99" i="2"/>
  <c r="BF100" i="2"/>
  <c r="BG100" i="2"/>
  <c r="BF101" i="2"/>
  <c r="BG101" i="2"/>
  <c r="BF102" i="2"/>
  <c r="BG102" i="2"/>
  <c r="BF103" i="2"/>
  <c r="BG103" i="2"/>
  <c r="BF104" i="2"/>
  <c r="BG104" i="2"/>
  <c r="BF105" i="2"/>
  <c r="BG105" i="2"/>
  <c r="BF106" i="2"/>
  <c r="BG106" i="2"/>
  <c r="BF107" i="2"/>
  <c r="BG107" i="2"/>
  <c r="BF108" i="2"/>
  <c r="BG108" i="2"/>
  <c r="BF109" i="2"/>
  <c r="BG109" i="2"/>
  <c r="BF110" i="2"/>
  <c r="BG110" i="2"/>
  <c r="BF111" i="2"/>
  <c r="BG111" i="2"/>
  <c r="BF112" i="2"/>
  <c r="BG112" i="2"/>
  <c r="BF113" i="2"/>
  <c r="BG113" i="2"/>
  <c r="BF114" i="2"/>
  <c r="BG114" i="2"/>
  <c r="BF115" i="2"/>
  <c r="BG115" i="2"/>
  <c r="BF116" i="2"/>
  <c r="BG116" i="2"/>
  <c r="BF117" i="2"/>
  <c r="BG117" i="2"/>
  <c r="BF118" i="2"/>
  <c r="BG118" i="2"/>
  <c r="BF119" i="2"/>
  <c r="BG119" i="2"/>
  <c r="BF120" i="2"/>
  <c r="BG120" i="2"/>
  <c r="BF121" i="2"/>
  <c r="BG121" i="2"/>
  <c r="BF122" i="2"/>
  <c r="BG122" i="2"/>
  <c r="BF123" i="2"/>
  <c r="BG123" i="2"/>
  <c r="BF124" i="2"/>
  <c r="BG124" i="2"/>
  <c r="BF125" i="2"/>
  <c r="BG125" i="2"/>
  <c r="BF126" i="2"/>
  <c r="BG126" i="2"/>
  <c r="BF127" i="2"/>
  <c r="BG127" i="2"/>
  <c r="BF128" i="2"/>
  <c r="BG128" i="2"/>
  <c r="BF129" i="2"/>
  <c r="BG129" i="2"/>
  <c r="BF130" i="2"/>
  <c r="BG130" i="2"/>
  <c r="BF131" i="2"/>
  <c r="BG131" i="2"/>
  <c r="BF132" i="2"/>
  <c r="BG132" i="2"/>
  <c r="BF133" i="2"/>
  <c r="BG133" i="2"/>
  <c r="BF134" i="2"/>
  <c r="BG134" i="2"/>
  <c r="BF135" i="2"/>
  <c r="BG135" i="2"/>
  <c r="BF136" i="2"/>
  <c r="BG136" i="2"/>
  <c r="BF137" i="2"/>
  <c r="BG137" i="2"/>
  <c r="BF138" i="2"/>
  <c r="BG138" i="2"/>
  <c r="BF139" i="2"/>
  <c r="BG139" i="2"/>
  <c r="BF140" i="2"/>
  <c r="BG140" i="2"/>
  <c r="BF141" i="2"/>
  <c r="BG141" i="2"/>
  <c r="BF142" i="2"/>
  <c r="BG142" i="2"/>
  <c r="BF143" i="2"/>
  <c r="BG143" i="2"/>
  <c r="BF144" i="2"/>
  <c r="BG144" i="2"/>
  <c r="BF145" i="2"/>
  <c r="BG145" i="2"/>
  <c r="BF146" i="2"/>
  <c r="BG146" i="2"/>
  <c r="BF147" i="2"/>
  <c r="BG147" i="2"/>
  <c r="BF148" i="2"/>
  <c r="BG148" i="2"/>
  <c r="BF149" i="2"/>
  <c r="BG149" i="2"/>
  <c r="BF150" i="2"/>
  <c r="BG150" i="2"/>
  <c r="BF151" i="2"/>
  <c r="BG151" i="2"/>
  <c r="BF152" i="2"/>
  <c r="BG152" i="2"/>
  <c r="BF153" i="2"/>
  <c r="BG153" i="2"/>
  <c r="BF154" i="2"/>
  <c r="BG154" i="2"/>
  <c r="BF155" i="2"/>
  <c r="BG155" i="2"/>
  <c r="BF156" i="2"/>
  <c r="BG156" i="2"/>
  <c r="BF157" i="2"/>
  <c r="BG157" i="2"/>
  <c r="BF158" i="2"/>
  <c r="BG158" i="2"/>
  <c r="BF159" i="2"/>
  <c r="BG159" i="2"/>
  <c r="BF160" i="2"/>
  <c r="BG160" i="2"/>
  <c r="BF161" i="2"/>
  <c r="BG161" i="2"/>
  <c r="BF162" i="2"/>
  <c r="BG162" i="2"/>
  <c r="BF163" i="2"/>
  <c r="BG163" i="2"/>
  <c r="BF164" i="2"/>
  <c r="BG164" i="2"/>
  <c r="BF165" i="2"/>
  <c r="BG165" i="2"/>
  <c r="BF166" i="2"/>
  <c r="BG166" i="2"/>
  <c r="BF167" i="2"/>
  <c r="BG167" i="2"/>
  <c r="BF168" i="2"/>
  <c r="BG168" i="2"/>
  <c r="BF169" i="2"/>
  <c r="BG169" i="2"/>
  <c r="BF170" i="2"/>
  <c r="BG170" i="2"/>
  <c r="BF171" i="2"/>
  <c r="BG171" i="2"/>
  <c r="BF172" i="2"/>
  <c r="BG172" i="2"/>
  <c r="BF173" i="2"/>
  <c r="BG173" i="2"/>
  <c r="BF174" i="2"/>
  <c r="BG174" i="2"/>
  <c r="BF175" i="2"/>
  <c r="BG175" i="2"/>
  <c r="BF176" i="2"/>
  <c r="BG176" i="2"/>
  <c r="BF177" i="2"/>
  <c r="BG177" i="2"/>
  <c r="BF178" i="2"/>
  <c r="BG178" i="2"/>
  <c r="BF179" i="2"/>
  <c r="BG179" i="2"/>
  <c r="BF180" i="2"/>
  <c r="BG180" i="2"/>
  <c r="BF181" i="2"/>
  <c r="BG181" i="2"/>
  <c r="BF182" i="2"/>
  <c r="BG182" i="2"/>
  <c r="BF183" i="2"/>
  <c r="BG183" i="2"/>
  <c r="BF184" i="2"/>
  <c r="BG184" i="2"/>
  <c r="BF185" i="2"/>
  <c r="BG185" i="2"/>
  <c r="BF186" i="2"/>
  <c r="BG186" i="2"/>
  <c r="BF187" i="2"/>
  <c r="BG187" i="2"/>
  <c r="BF188" i="2"/>
  <c r="BG188" i="2"/>
  <c r="BF189" i="2"/>
  <c r="BG189" i="2"/>
  <c r="BF190" i="2"/>
  <c r="BG190" i="2"/>
  <c r="BF191" i="2"/>
  <c r="BG191" i="2"/>
  <c r="BF192" i="2"/>
  <c r="BG192" i="2"/>
  <c r="BF193" i="2"/>
  <c r="BG193" i="2"/>
  <c r="BF194" i="2"/>
  <c r="BG194" i="2"/>
  <c r="BF195" i="2"/>
  <c r="BG195" i="2"/>
  <c r="BF196" i="2"/>
  <c r="BG196" i="2"/>
  <c r="BF197" i="2"/>
  <c r="BG197" i="2"/>
  <c r="BF198" i="2"/>
  <c r="BG198" i="2"/>
  <c r="BF199" i="2"/>
  <c r="BG199" i="2"/>
  <c r="BF200" i="2"/>
  <c r="BG200" i="2"/>
  <c r="BF201" i="2"/>
  <c r="BG201" i="2"/>
  <c r="BF202" i="2"/>
  <c r="BG202" i="2"/>
  <c r="BF203" i="2"/>
  <c r="BG203" i="2"/>
  <c r="BF204" i="2"/>
  <c r="BG204" i="2"/>
  <c r="BF205" i="2"/>
  <c r="BG205" i="2"/>
  <c r="BF206" i="2"/>
  <c r="BG206" i="2"/>
  <c r="BF207" i="2"/>
  <c r="BG207" i="2"/>
  <c r="BF208" i="2"/>
  <c r="BG208" i="2"/>
  <c r="BF209" i="2"/>
  <c r="BG209" i="2"/>
  <c r="BF210" i="2"/>
  <c r="BG210" i="2"/>
  <c r="BF211" i="2"/>
  <c r="BG211" i="2"/>
  <c r="BF212" i="2"/>
  <c r="BG212" i="2"/>
  <c r="BF213" i="2"/>
  <c r="BG213" i="2"/>
  <c r="BF214" i="2"/>
  <c r="BG214" i="2"/>
  <c r="BF215" i="2"/>
  <c r="BG215" i="2"/>
  <c r="BF216" i="2"/>
  <c r="BG216" i="2"/>
  <c r="BF217" i="2"/>
  <c r="BG217" i="2"/>
  <c r="BF218" i="2"/>
  <c r="BG218" i="2"/>
  <c r="BF219" i="2"/>
  <c r="BG219" i="2"/>
  <c r="BF220" i="2"/>
  <c r="BG220" i="2"/>
  <c r="BF221" i="2"/>
  <c r="BG221" i="2"/>
  <c r="BF222" i="2"/>
  <c r="BG222" i="2"/>
  <c r="BF223" i="2"/>
  <c r="BG223" i="2"/>
  <c r="BF224" i="2"/>
  <c r="BG224" i="2"/>
  <c r="BF225" i="2"/>
  <c r="BG225" i="2"/>
  <c r="BF226" i="2"/>
  <c r="BG226" i="2"/>
  <c r="BF227" i="2"/>
  <c r="BG227" i="2"/>
  <c r="BF228" i="2"/>
  <c r="BG228" i="2"/>
  <c r="BF229" i="2"/>
  <c r="BG229" i="2"/>
  <c r="BF230" i="2"/>
  <c r="BG230" i="2"/>
  <c r="BF231" i="2"/>
  <c r="BG231" i="2"/>
  <c r="BF232" i="2"/>
  <c r="BG232" i="2"/>
  <c r="BF233" i="2"/>
  <c r="BG233" i="2"/>
  <c r="BF234" i="2"/>
  <c r="BG234" i="2"/>
  <c r="BF235" i="2"/>
  <c r="BG235" i="2"/>
  <c r="BF236" i="2"/>
  <c r="BG236" i="2"/>
  <c r="BF237" i="2"/>
  <c r="BG237" i="2"/>
  <c r="BF238" i="2"/>
  <c r="BG238" i="2"/>
  <c r="BF239" i="2"/>
  <c r="BG239" i="2"/>
  <c r="BF240" i="2"/>
  <c r="BG240" i="2"/>
  <c r="BF241" i="2"/>
  <c r="BG241" i="2"/>
  <c r="BF242" i="2"/>
  <c r="BG242" i="2"/>
  <c r="BF243" i="2"/>
  <c r="BG243" i="2"/>
  <c r="BF244" i="2"/>
  <c r="BG244" i="2"/>
  <c r="BF245" i="2"/>
  <c r="BG245" i="2"/>
  <c r="BF246" i="2"/>
  <c r="BG246" i="2"/>
  <c r="BF247" i="2"/>
  <c r="BG247" i="2"/>
  <c r="BF248" i="2"/>
  <c r="BG248" i="2"/>
  <c r="BF249" i="2"/>
  <c r="BG249" i="2"/>
  <c r="BF250" i="2"/>
  <c r="BG250" i="2"/>
  <c r="BF251" i="2"/>
  <c r="BG251" i="2"/>
  <c r="BF252" i="2"/>
  <c r="BG252" i="2"/>
  <c r="BF253" i="2"/>
  <c r="BG253" i="2"/>
  <c r="BF254" i="2"/>
  <c r="BG254" i="2"/>
  <c r="BF255" i="2"/>
  <c r="BG255" i="2"/>
  <c r="BF256" i="2"/>
  <c r="BG256" i="2"/>
  <c r="BF257" i="2"/>
  <c r="BG257" i="2"/>
  <c r="BF258" i="2"/>
  <c r="BG258" i="2"/>
  <c r="BF259" i="2"/>
  <c r="BG259" i="2"/>
  <c r="BF260" i="2"/>
  <c r="BG260" i="2"/>
  <c r="BF261" i="2"/>
  <c r="BG261" i="2"/>
  <c r="BF262" i="2"/>
  <c r="BG262" i="2"/>
  <c r="BF263" i="2"/>
  <c r="BG263" i="2"/>
  <c r="BF264" i="2"/>
  <c r="BG264" i="2"/>
  <c r="BF265" i="2"/>
  <c r="BG265" i="2"/>
  <c r="BF266" i="2"/>
  <c r="BG266" i="2"/>
  <c r="BF267" i="2"/>
  <c r="BG267" i="2"/>
  <c r="BF268" i="2"/>
  <c r="BG268" i="2"/>
  <c r="BF269" i="2"/>
  <c r="BG269" i="2"/>
  <c r="BF270" i="2"/>
  <c r="BG270" i="2"/>
  <c r="BF271" i="2"/>
  <c r="BG271" i="2"/>
  <c r="BF272" i="2"/>
  <c r="BG272" i="2"/>
  <c r="BF273" i="2"/>
  <c r="BG273" i="2"/>
  <c r="BF274" i="2"/>
  <c r="BG274" i="2"/>
  <c r="BF275" i="2"/>
  <c r="BG275" i="2"/>
  <c r="BF276" i="2"/>
  <c r="BG276" i="2"/>
  <c r="BF277" i="2"/>
  <c r="BG277" i="2"/>
  <c r="BF278" i="2"/>
  <c r="BG278" i="2"/>
  <c r="BF279" i="2"/>
  <c r="BG279" i="2"/>
  <c r="BF280" i="2"/>
  <c r="BG280" i="2"/>
  <c r="BF281" i="2"/>
  <c r="BG281" i="2"/>
  <c r="BF282" i="2"/>
  <c r="BG282" i="2"/>
  <c r="BF283" i="2"/>
  <c r="BG283" i="2"/>
  <c r="BF284" i="2"/>
  <c r="BG284" i="2"/>
  <c r="BF285" i="2"/>
  <c r="BG285" i="2"/>
  <c r="BF286" i="2"/>
  <c r="BG286" i="2"/>
  <c r="BF287" i="2"/>
  <c r="BG287" i="2"/>
  <c r="BF288" i="2"/>
  <c r="BG288" i="2"/>
  <c r="BF289" i="2"/>
  <c r="BG289" i="2"/>
  <c r="BF290" i="2"/>
  <c r="BG290" i="2"/>
  <c r="BF291" i="2"/>
  <c r="BG291" i="2"/>
  <c r="BF292" i="2"/>
  <c r="BG292" i="2"/>
  <c r="BF293" i="2"/>
  <c r="BG293" i="2"/>
  <c r="BF294" i="2"/>
  <c r="BG294" i="2"/>
  <c r="BF295" i="2"/>
  <c r="BG295" i="2"/>
  <c r="BF296" i="2"/>
  <c r="BG296" i="2"/>
  <c r="BF297" i="2"/>
  <c r="BG297" i="2"/>
  <c r="BF298" i="2"/>
  <c r="BG298" i="2"/>
  <c r="BF299" i="2"/>
  <c r="BG299" i="2"/>
  <c r="BF300" i="2"/>
  <c r="BG300" i="2"/>
  <c r="BF301" i="2"/>
  <c r="BG301" i="2"/>
  <c r="BF302" i="2"/>
  <c r="BG302" i="2"/>
  <c r="BF303" i="2"/>
  <c r="BG303" i="2"/>
  <c r="BF304" i="2"/>
  <c r="BG304" i="2"/>
  <c r="BF305" i="2"/>
  <c r="BG305" i="2"/>
  <c r="BF306" i="2"/>
  <c r="BG306" i="2"/>
  <c r="BF307" i="2"/>
  <c r="BG307" i="2"/>
  <c r="BF308" i="2"/>
  <c r="BG308" i="2"/>
  <c r="BF309" i="2"/>
  <c r="BG309" i="2"/>
  <c r="BF310" i="2"/>
  <c r="BG310" i="2"/>
  <c r="BF311" i="2"/>
  <c r="BG311" i="2"/>
  <c r="BF312" i="2"/>
  <c r="BG312" i="2"/>
  <c r="BF313" i="2"/>
  <c r="BG313" i="2"/>
  <c r="BF314" i="2"/>
  <c r="BG314" i="2"/>
  <c r="BF315" i="2"/>
  <c r="BG315" i="2"/>
  <c r="BF316" i="2"/>
  <c r="BG316" i="2"/>
  <c r="BF317" i="2"/>
  <c r="BG317" i="2"/>
  <c r="BF318" i="2"/>
  <c r="BG318" i="2"/>
  <c r="BF319" i="2"/>
  <c r="BG319" i="2"/>
  <c r="BF320" i="2"/>
  <c r="BG320" i="2"/>
  <c r="BF321" i="2"/>
  <c r="BG321" i="2"/>
  <c r="BF322" i="2"/>
  <c r="BG322" i="2"/>
  <c r="BF323" i="2"/>
  <c r="BG323" i="2"/>
  <c r="BF324" i="2"/>
  <c r="BG324" i="2"/>
  <c r="BF325" i="2"/>
  <c r="BG325" i="2"/>
  <c r="BF326" i="2"/>
  <c r="BG326" i="2"/>
  <c r="BF327" i="2"/>
  <c r="BG327" i="2"/>
  <c r="BF328" i="2"/>
  <c r="BG328" i="2"/>
  <c r="BF329" i="2"/>
  <c r="BG329" i="2"/>
  <c r="BF330" i="2"/>
  <c r="BG330" i="2"/>
  <c r="BF331" i="2"/>
  <c r="BG331" i="2"/>
  <c r="BF332" i="2"/>
  <c r="BG332" i="2"/>
  <c r="BF333" i="2"/>
  <c r="BG333" i="2"/>
  <c r="BF334" i="2"/>
  <c r="BG334" i="2"/>
  <c r="BF335" i="2"/>
  <c r="BG335" i="2"/>
  <c r="BF336" i="2"/>
  <c r="BG336" i="2"/>
  <c r="BF337" i="2"/>
  <c r="BG337" i="2"/>
  <c r="BF338" i="2"/>
  <c r="BG338" i="2"/>
  <c r="BF339" i="2"/>
  <c r="BG339" i="2"/>
  <c r="BF340" i="2"/>
  <c r="BG340" i="2"/>
  <c r="BF341" i="2"/>
  <c r="BG341" i="2"/>
  <c r="BF342" i="2"/>
  <c r="BG342" i="2"/>
  <c r="BF343" i="2"/>
  <c r="BG343" i="2"/>
  <c r="BF344" i="2"/>
  <c r="BG344" i="2"/>
  <c r="BF345" i="2"/>
  <c r="BG345" i="2"/>
  <c r="BF346" i="2"/>
  <c r="BG346" i="2"/>
  <c r="BF347" i="2"/>
  <c r="BG347" i="2"/>
  <c r="BF348" i="2"/>
  <c r="BG348" i="2"/>
  <c r="BF349" i="2"/>
  <c r="BG349" i="2"/>
  <c r="BF350" i="2"/>
  <c r="BG350" i="2"/>
  <c r="BF351" i="2"/>
  <c r="BG351" i="2"/>
  <c r="BF352" i="2"/>
  <c r="BG352" i="2"/>
  <c r="BF353" i="2"/>
  <c r="BG353" i="2"/>
  <c r="BF354" i="2"/>
  <c r="BG354" i="2"/>
  <c r="BF355" i="2"/>
  <c r="BG355" i="2"/>
  <c r="BF356" i="2"/>
  <c r="BG356" i="2"/>
  <c r="BF357" i="2"/>
  <c r="BG357" i="2"/>
  <c r="BF358" i="2"/>
  <c r="BG358" i="2"/>
  <c r="BF359" i="2"/>
  <c r="BG359" i="2"/>
  <c r="BF360" i="2"/>
  <c r="BG360" i="2"/>
  <c r="BF361" i="2"/>
  <c r="BG361" i="2"/>
  <c r="BF362" i="2"/>
  <c r="BG362" i="2"/>
  <c r="BF363" i="2"/>
  <c r="BG363" i="2"/>
  <c r="BF364" i="2"/>
  <c r="BG364" i="2"/>
  <c r="BF365" i="2"/>
  <c r="BG365" i="2"/>
  <c r="BF366" i="2"/>
  <c r="BG366" i="2"/>
  <c r="BF367" i="2"/>
  <c r="BG367" i="2"/>
  <c r="BF368" i="2"/>
  <c r="BG368" i="2"/>
  <c r="BF369" i="2"/>
  <c r="BG369" i="2"/>
  <c r="BF370" i="2"/>
  <c r="BG370" i="2"/>
  <c r="BF371" i="2"/>
  <c r="BG371" i="2"/>
  <c r="BF372" i="2"/>
  <c r="BG372" i="2"/>
  <c r="BF373" i="2"/>
  <c r="BG373" i="2"/>
  <c r="BF374" i="2"/>
  <c r="BG374" i="2"/>
  <c r="BF375" i="2"/>
  <c r="BG375" i="2"/>
  <c r="BF376" i="2"/>
  <c r="BG376" i="2"/>
  <c r="BF377" i="2"/>
  <c r="BG377" i="2"/>
  <c r="BF378" i="2"/>
  <c r="BG378" i="2"/>
  <c r="BF379" i="2"/>
  <c r="BG379" i="2"/>
  <c r="BF380" i="2"/>
  <c r="BG380" i="2"/>
  <c r="BF381" i="2"/>
  <c r="BG381" i="2"/>
  <c r="BF382" i="2"/>
  <c r="BG382" i="2"/>
  <c r="BF383" i="2"/>
  <c r="BG383" i="2"/>
  <c r="BF384" i="2"/>
  <c r="BG384" i="2"/>
  <c r="BF385" i="2"/>
  <c r="BG385" i="2"/>
  <c r="BF386" i="2"/>
  <c r="BG386" i="2"/>
  <c r="BF387" i="2"/>
  <c r="BG387" i="2"/>
  <c r="BF388" i="2"/>
  <c r="BG388" i="2"/>
  <c r="BF389" i="2"/>
  <c r="BG389" i="2"/>
  <c r="BF390" i="2"/>
  <c r="BG390" i="2"/>
  <c r="BF391" i="2"/>
  <c r="BG391" i="2"/>
  <c r="BF392" i="2"/>
  <c r="BG392" i="2"/>
  <c r="BF393" i="2"/>
  <c r="BG393" i="2"/>
  <c r="BF394" i="2"/>
  <c r="BG394" i="2"/>
  <c r="BF395" i="2"/>
  <c r="BG395" i="2"/>
  <c r="BF396" i="2"/>
  <c r="BG396" i="2"/>
  <c r="BF397" i="2"/>
  <c r="BG397" i="2"/>
  <c r="BF398" i="2"/>
  <c r="BG398" i="2"/>
  <c r="BF399" i="2"/>
  <c r="BG399" i="2"/>
  <c r="BF400" i="2"/>
  <c r="BG400" i="2"/>
  <c r="BF401" i="2"/>
  <c r="BG401" i="2"/>
  <c r="BF402" i="2"/>
  <c r="BG402" i="2"/>
  <c r="BF403" i="2"/>
  <c r="BG403" i="2"/>
  <c r="BF404" i="2"/>
  <c r="BG404" i="2"/>
  <c r="BF405" i="2"/>
  <c r="BG405" i="2"/>
  <c r="BF406" i="2"/>
  <c r="BG406" i="2"/>
  <c r="BF407" i="2"/>
  <c r="BG407" i="2"/>
  <c r="BF408" i="2"/>
  <c r="BG408" i="2"/>
  <c r="BF409" i="2"/>
  <c r="BG409" i="2"/>
  <c r="BF410" i="2"/>
  <c r="BG410" i="2"/>
  <c r="BF411" i="2"/>
  <c r="BG411" i="2"/>
  <c r="BF412" i="2"/>
  <c r="BG412" i="2"/>
  <c r="BF413" i="2"/>
  <c r="BG413" i="2"/>
  <c r="BF414" i="2"/>
  <c r="BG414" i="2"/>
  <c r="BF415" i="2"/>
  <c r="BG415" i="2"/>
  <c r="BF416" i="2"/>
  <c r="BG416" i="2"/>
  <c r="BF417" i="2"/>
  <c r="BG417" i="2"/>
  <c r="BF418" i="2"/>
  <c r="BG418" i="2"/>
  <c r="BF419" i="2"/>
  <c r="BG419" i="2"/>
  <c r="BF420" i="2"/>
  <c r="BG420" i="2"/>
  <c r="BF421" i="2"/>
  <c r="BG421" i="2"/>
  <c r="BF422" i="2"/>
  <c r="BG422" i="2"/>
  <c r="BF423" i="2"/>
  <c r="BG423" i="2"/>
  <c r="BF424" i="2"/>
  <c r="BG424" i="2"/>
  <c r="BF425" i="2"/>
  <c r="BG425" i="2"/>
  <c r="BF426" i="2"/>
  <c r="BG426" i="2"/>
  <c r="BF427" i="2"/>
  <c r="BG427" i="2"/>
  <c r="BF428" i="2"/>
  <c r="BG428" i="2"/>
  <c r="BF429" i="2"/>
  <c r="BG429" i="2"/>
  <c r="BF430" i="2"/>
  <c r="BG430" i="2"/>
  <c r="BF431" i="2"/>
  <c r="BG431" i="2"/>
  <c r="BF432" i="2"/>
  <c r="BG432" i="2"/>
  <c r="BF433" i="2"/>
  <c r="BG433" i="2"/>
  <c r="BF434" i="2"/>
  <c r="BG434" i="2"/>
  <c r="BF435" i="2"/>
  <c r="BG435" i="2"/>
  <c r="BF436" i="2"/>
  <c r="BG436" i="2"/>
  <c r="BF437" i="2"/>
  <c r="BG437" i="2"/>
  <c r="BF438" i="2"/>
  <c r="BG438" i="2"/>
  <c r="BF439" i="2"/>
  <c r="BG439" i="2"/>
  <c r="BF440" i="2"/>
  <c r="BG440" i="2"/>
  <c r="BF441" i="2"/>
  <c r="BG441" i="2"/>
  <c r="BF442" i="2"/>
  <c r="BG442" i="2"/>
  <c r="BF443" i="2"/>
  <c r="BG443" i="2"/>
  <c r="BF444" i="2"/>
  <c r="BG444" i="2"/>
  <c r="BF445" i="2"/>
  <c r="BG445" i="2"/>
  <c r="BF446" i="2"/>
  <c r="BG446" i="2"/>
  <c r="BF447" i="2"/>
  <c r="BG447" i="2"/>
  <c r="BF448" i="2"/>
  <c r="BG448" i="2"/>
  <c r="BF449" i="2"/>
  <c r="BG449" i="2"/>
  <c r="BF450" i="2"/>
  <c r="BG450" i="2"/>
  <c r="BF451" i="2"/>
  <c r="BG451" i="2"/>
  <c r="BF452" i="2"/>
  <c r="BG452" i="2"/>
  <c r="BF453" i="2"/>
  <c r="BG453" i="2"/>
  <c r="BF454" i="2"/>
  <c r="BG454" i="2"/>
  <c r="BF455" i="2"/>
  <c r="BG455" i="2"/>
  <c r="BF456" i="2"/>
  <c r="BG456" i="2"/>
  <c r="BF457" i="2"/>
  <c r="BG457" i="2"/>
  <c r="BF458" i="2"/>
  <c r="BG458" i="2"/>
  <c r="BF459" i="2"/>
  <c r="BG459" i="2"/>
  <c r="BF460" i="2"/>
  <c r="BG460" i="2"/>
  <c r="BF461" i="2"/>
  <c r="BG461" i="2"/>
  <c r="BF462" i="2"/>
  <c r="BG462" i="2"/>
  <c r="BF463" i="2"/>
  <c r="BG463" i="2"/>
  <c r="BF464" i="2"/>
  <c r="BG464" i="2"/>
  <c r="BF465" i="2"/>
  <c r="BG465" i="2"/>
  <c r="BF466" i="2"/>
  <c r="BG466" i="2"/>
  <c r="BF467" i="2"/>
  <c r="BG467" i="2"/>
  <c r="BF468" i="2"/>
  <c r="BG468" i="2"/>
  <c r="BF469" i="2"/>
  <c r="BG469" i="2"/>
  <c r="BF470" i="2"/>
  <c r="BG470" i="2"/>
  <c r="BF471" i="2"/>
  <c r="BG471" i="2"/>
  <c r="BF472" i="2"/>
  <c r="BG472" i="2"/>
  <c r="BF473" i="2"/>
  <c r="BG473" i="2"/>
  <c r="BF474" i="2"/>
  <c r="BG474" i="2"/>
  <c r="BF475" i="2"/>
  <c r="BG475" i="2"/>
  <c r="BF476" i="2"/>
  <c r="BG476" i="2"/>
  <c r="BF477" i="2"/>
  <c r="BG477" i="2"/>
  <c r="BF478" i="2"/>
  <c r="BG478" i="2"/>
  <c r="BF479" i="2"/>
  <c r="BG479" i="2"/>
  <c r="BF480" i="2"/>
  <c r="BG480" i="2"/>
  <c r="BF481" i="2"/>
  <c r="BG481" i="2"/>
  <c r="BF482" i="2"/>
  <c r="BG482" i="2"/>
  <c r="BF483" i="2"/>
  <c r="BG483" i="2"/>
  <c r="BF484" i="2"/>
  <c r="BG484" i="2"/>
  <c r="BF485" i="2"/>
  <c r="BG485" i="2"/>
  <c r="BF486" i="2"/>
  <c r="BG486" i="2"/>
  <c r="BF487" i="2"/>
  <c r="BG487" i="2"/>
  <c r="BF488" i="2"/>
  <c r="BG488" i="2"/>
  <c r="BF489" i="2"/>
  <c r="BG489" i="2"/>
  <c r="BF490" i="2"/>
  <c r="BG490" i="2"/>
  <c r="BF491" i="2"/>
  <c r="BG491" i="2"/>
  <c r="BF492" i="2"/>
  <c r="BG492" i="2"/>
  <c r="BF493" i="2"/>
  <c r="BG493" i="2"/>
  <c r="BF494" i="2"/>
  <c r="BG494" i="2"/>
  <c r="BF495" i="2"/>
  <c r="BG495" i="2"/>
  <c r="BF496" i="2"/>
  <c r="BG496" i="2"/>
  <c r="BF497" i="2"/>
  <c r="BG497" i="2"/>
  <c r="BF498" i="2"/>
  <c r="BG498" i="2"/>
  <c r="BF499" i="2"/>
  <c r="BG499" i="2"/>
  <c r="BF500" i="2"/>
  <c r="BG500" i="2"/>
  <c r="BF501" i="2"/>
  <c r="BG501" i="2"/>
  <c r="BF3" i="2"/>
  <c r="G159" i="5"/>
  <c r="E159" i="5"/>
  <c r="I74" i="5"/>
  <c r="B24" i="8"/>
  <c r="E16" i="5"/>
  <c r="G161" i="5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4" i="8"/>
  <c r="J60" i="5"/>
  <c r="N89" i="5"/>
  <c r="N88" i="5"/>
  <c r="N87" i="5"/>
  <c r="E89" i="5"/>
  <c r="F89" i="5"/>
  <c r="AG18" i="2"/>
  <c r="D19" i="2"/>
  <c r="AF19" i="2"/>
  <c r="AG19" i="2"/>
  <c r="D20" i="2"/>
  <c r="AF20" i="2"/>
  <c r="AG20" i="2"/>
  <c r="D21" i="2"/>
  <c r="AF21" i="2"/>
  <c r="AG21" i="2"/>
  <c r="D22" i="2"/>
  <c r="AF22" i="2"/>
  <c r="AG22" i="2"/>
  <c r="D23" i="2"/>
  <c r="AF23" i="2"/>
  <c r="AG23" i="2"/>
  <c r="C52" i="2"/>
  <c r="D52" i="2"/>
  <c r="AF52" i="2"/>
  <c r="AG52" i="2"/>
  <c r="C53" i="2"/>
  <c r="D53" i="2"/>
  <c r="AF53" i="2"/>
  <c r="AG53" i="2"/>
  <c r="C54" i="2"/>
  <c r="D54" i="2"/>
  <c r="AF54" i="2"/>
  <c r="AG54" i="2"/>
  <c r="C55" i="2"/>
  <c r="D55" i="2"/>
  <c r="AF55" i="2"/>
  <c r="AG55" i="2"/>
  <c r="C56" i="2"/>
  <c r="D56" i="2"/>
  <c r="AF56" i="2"/>
  <c r="AG56" i="2"/>
  <c r="C57" i="2"/>
  <c r="D57" i="2"/>
  <c r="AF57" i="2"/>
  <c r="AG57" i="2"/>
  <c r="C58" i="2"/>
  <c r="D58" i="2"/>
  <c r="AF58" i="2"/>
  <c r="AG58" i="2"/>
  <c r="C59" i="2"/>
  <c r="D59" i="2"/>
  <c r="AF59" i="2"/>
  <c r="AG59" i="2"/>
  <c r="C60" i="2"/>
  <c r="D60" i="2"/>
  <c r="AF60" i="2"/>
  <c r="AG60" i="2"/>
  <c r="C61" i="2"/>
  <c r="D61" i="2"/>
  <c r="AF61" i="2"/>
  <c r="AG61" i="2"/>
  <c r="C62" i="2"/>
  <c r="D62" i="2"/>
  <c r="AF62" i="2"/>
  <c r="AG62" i="2"/>
  <c r="C63" i="2"/>
  <c r="D63" i="2"/>
  <c r="AF63" i="2"/>
  <c r="AG63" i="2"/>
  <c r="AG15" i="2"/>
  <c r="AJ18" i="2"/>
  <c r="AI19" i="2"/>
  <c r="AJ19" i="2"/>
  <c r="AI20" i="2"/>
  <c r="AJ20" i="2"/>
  <c r="AI21" i="2"/>
  <c r="AJ21" i="2"/>
  <c r="AI22" i="2"/>
  <c r="AJ22" i="2"/>
  <c r="AI23" i="2"/>
  <c r="AJ23" i="2"/>
  <c r="AI52" i="2"/>
  <c r="AJ52" i="2"/>
  <c r="AI53" i="2"/>
  <c r="AJ53" i="2"/>
  <c r="AI54" i="2"/>
  <c r="AJ54" i="2"/>
  <c r="AI55" i="2"/>
  <c r="AJ55" i="2"/>
  <c r="AI56" i="2"/>
  <c r="AJ56" i="2"/>
  <c r="AI57" i="2"/>
  <c r="AJ57" i="2"/>
  <c r="AI58" i="2"/>
  <c r="AJ58" i="2"/>
  <c r="AI59" i="2"/>
  <c r="AJ59" i="2"/>
  <c r="AI60" i="2"/>
  <c r="AJ60" i="2"/>
  <c r="AI61" i="2"/>
  <c r="AJ61" i="2"/>
  <c r="AI62" i="2"/>
  <c r="AJ62" i="2"/>
  <c r="AI63" i="2"/>
  <c r="AJ63" i="2"/>
  <c r="AJ15" i="2"/>
  <c r="B34" i="1"/>
  <c r="E34" i="1"/>
  <c r="C34" i="1"/>
  <c r="B35" i="1"/>
  <c r="J46" i="5"/>
  <c r="F34" i="1"/>
  <c r="E35" i="1"/>
  <c r="C35" i="1"/>
  <c r="B36" i="1"/>
  <c r="F35" i="1"/>
  <c r="E36" i="1"/>
  <c r="C36" i="1"/>
  <c r="B37" i="1"/>
  <c r="F36" i="1"/>
  <c r="E97" i="5"/>
  <c r="E98" i="5"/>
  <c r="E99" i="5"/>
  <c r="E96" i="5"/>
  <c r="D18" i="2"/>
  <c r="AI18" i="2"/>
  <c r="AF18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O36" i="2"/>
  <c r="O37" i="2"/>
  <c r="O38" i="2"/>
  <c r="O39" i="2"/>
  <c r="O40" i="2"/>
  <c r="O41" i="2"/>
  <c r="O42" i="2"/>
  <c r="O43" i="2"/>
  <c r="O44" i="2"/>
  <c r="O45" i="2"/>
  <c r="O46" i="2"/>
  <c r="O47" i="2"/>
  <c r="V57" i="2"/>
  <c r="V58" i="2"/>
  <c r="V59" i="2"/>
  <c r="V60" i="2"/>
  <c r="V61" i="2"/>
  <c r="V62" i="2"/>
  <c r="V63" i="2"/>
  <c r="V64" i="2"/>
  <c r="V65" i="2"/>
  <c r="V66" i="2"/>
  <c r="V67" i="2"/>
  <c r="BF10" i="2"/>
  <c r="BD10" i="2"/>
  <c r="AN10" i="2"/>
  <c r="T10" i="2"/>
  <c r="E15" i="5"/>
  <c r="G162" i="5"/>
  <c r="T11" i="2"/>
  <c r="E14" i="5"/>
  <c r="E134" i="5"/>
  <c r="AN11" i="2"/>
  <c r="E135" i="5"/>
  <c r="E133" i="5"/>
  <c r="AH11" i="2"/>
  <c r="AE11" i="2"/>
  <c r="W11" i="2"/>
  <c r="AM11" i="2"/>
  <c r="AL11" i="2"/>
  <c r="E27" i="5"/>
  <c r="F60" i="6"/>
  <c r="F57" i="6"/>
  <c r="G48" i="6"/>
  <c r="G56" i="6"/>
  <c r="G57" i="6"/>
  <c r="G60" i="6"/>
  <c r="G49" i="6"/>
  <c r="G50" i="6"/>
  <c r="G51" i="6"/>
  <c r="G52" i="6"/>
  <c r="G53" i="6"/>
  <c r="G54" i="6"/>
  <c r="G55" i="6"/>
  <c r="G58" i="6"/>
  <c r="G59" i="6"/>
  <c r="G61" i="6"/>
  <c r="G62" i="6"/>
  <c r="G66" i="6"/>
  <c r="F62" i="6"/>
  <c r="J118" i="5"/>
  <c r="E118" i="5"/>
  <c r="H60" i="5"/>
  <c r="H80" i="5"/>
  <c r="H118" i="5"/>
  <c r="BF11" i="2"/>
  <c r="E164" i="5"/>
  <c r="BD11" i="2"/>
  <c r="E163" i="5"/>
  <c r="E165" i="5"/>
  <c r="D5" i="5"/>
  <c r="H34" i="5"/>
  <c r="G34" i="5"/>
  <c r="H35" i="5"/>
  <c r="G35" i="5"/>
  <c r="D32" i="6"/>
  <c r="D41" i="6"/>
  <c r="A29" i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Q5" i="2"/>
  <c r="E128" i="5"/>
  <c r="E129" i="5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H11" i="2"/>
  <c r="G11" i="2"/>
  <c r="E138" i="5"/>
  <c r="AH5" i="2"/>
  <c r="E8" i="2"/>
  <c r="H149" i="5"/>
  <c r="H138" i="5"/>
  <c r="H143" i="5"/>
  <c r="X6" i="2"/>
  <c r="AC12" i="2"/>
  <c r="U11" i="2"/>
  <c r="AT501" i="2"/>
  <c r="AJ501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D501" i="2"/>
  <c r="AI501" i="2"/>
  <c r="AG501" i="2"/>
  <c r="AF501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E501" i="2"/>
  <c r="AT500" i="2"/>
  <c r="AJ500" i="2"/>
  <c r="D500" i="2"/>
  <c r="AI500" i="2"/>
  <c r="AG500" i="2"/>
  <c r="AF500" i="2"/>
  <c r="E500" i="2"/>
  <c r="AT499" i="2"/>
  <c r="AJ499" i="2"/>
  <c r="D499" i="2"/>
  <c r="AI499" i="2"/>
  <c r="AG499" i="2"/>
  <c r="AF499" i="2"/>
  <c r="E499" i="2"/>
  <c r="AT498" i="2"/>
  <c r="AJ498" i="2"/>
  <c r="D498" i="2"/>
  <c r="AI498" i="2"/>
  <c r="AG498" i="2"/>
  <c r="AF498" i="2"/>
  <c r="E498" i="2"/>
  <c r="AT497" i="2"/>
  <c r="AJ497" i="2"/>
  <c r="D497" i="2"/>
  <c r="AI497" i="2"/>
  <c r="AG497" i="2"/>
  <c r="AF497" i="2"/>
  <c r="E497" i="2"/>
  <c r="AT496" i="2"/>
  <c r="AJ496" i="2"/>
  <c r="D496" i="2"/>
  <c r="AI496" i="2"/>
  <c r="AG496" i="2"/>
  <c r="AF496" i="2"/>
  <c r="E496" i="2"/>
  <c r="AT495" i="2"/>
  <c r="AJ495" i="2"/>
  <c r="D495" i="2"/>
  <c r="AI495" i="2"/>
  <c r="AG495" i="2"/>
  <c r="AF495" i="2"/>
  <c r="E495" i="2"/>
  <c r="AT494" i="2"/>
  <c r="AJ494" i="2"/>
  <c r="D494" i="2"/>
  <c r="AI494" i="2"/>
  <c r="AG494" i="2"/>
  <c r="AF494" i="2"/>
  <c r="E494" i="2"/>
  <c r="AT493" i="2"/>
  <c r="AJ493" i="2"/>
  <c r="D493" i="2"/>
  <c r="AI493" i="2"/>
  <c r="AG493" i="2"/>
  <c r="AF493" i="2"/>
  <c r="E493" i="2"/>
  <c r="AT492" i="2"/>
  <c r="AJ492" i="2"/>
  <c r="D492" i="2"/>
  <c r="AI492" i="2"/>
  <c r="AG492" i="2"/>
  <c r="AF492" i="2"/>
  <c r="E492" i="2"/>
  <c r="AT491" i="2"/>
  <c r="AJ491" i="2"/>
  <c r="D491" i="2"/>
  <c r="AI491" i="2"/>
  <c r="AG491" i="2"/>
  <c r="AF491" i="2"/>
  <c r="E491" i="2"/>
  <c r="AT490" i="2"/>
  <c r="AJ490" i="2"/>
  <c r="D490" i="2"/>
  <c r="AI490" i="2"/>
  <c r="AG490" i="2"/>
  <c r="AF490" i="2"/>
  <c r="E490" i="2"/>
  <c r="AT489" i="2"/>
  <c r="AJ489" i="2"/>
  <c r="D489" i="2"/>
  <c r="AI489" i="2"/>
  <c r="AG489" i="2"/>
  <c r="AF489" i="2"/>
  <c r="E489" i="2"/>
  <c r="AT488" i="2"/>
  <c r="AJ488" i="2"/>
  <c r="D488" i="2"/>
  <c r="AI488" i="2"/>
  <c r="AG488" i="2"/>
  <c r="AF488" i="2"/>
  <c r="E488" i="2"/>
  <c r="AT487" i="2"/>
  <c r="AJ487" i="2"/>
  <c r="D487" i="2"/>
  <c r="AI487" i="2"/>
  <c r="AG487" i="2"/>
  <c r="AF487" i="2"/>
  <c r="E487" i="2"/>
  <c r="AT486" i="2"/>
  <c r="AJ486" i="2"/>
  <c r="D486" i="2"/>
  <c r="AI486" i="2"/>
  <c r="AG486" i="2"/>
  <c r="AF486" i="2"/>
  <c r="E486" i="2"/>
  <c r="AT485" i="2"/>
  <c r="AJ485" i="2"/>
  <c r="D485" i="2"/>
  <c r="AI485" i="2"/>
  <c r="AG485" i="2"/>
  <c r="AF485" i="2"/>
  <c r="E485" i="2"/>
  <c r="AT484" i="2"/>
  <c r="AJ484" i="2"/>
  <c r="D484" i="2"/>
  <c r="AI484" i="2"/>
  <c r="AG484" i="2"/>
  <c r="AF484" i="2"/>
  <c r="E484" i="2"/>
  <c r="AT483" i="2"/>
  <c r="AJ483" i="2"/>
  <c r="D483" i="2"/>
  <c r="AI483" i="2"/>
  <c r="AG483" i="2"/>
  <c r="AF483" i="2"/>
  <c r="E483" i="2"/>
  <c r="AT482" i="2"/>
  <c r="AJ482" i="2"/>
  <c r="D482" i="2"/>
  <c r="AI482" i="2"/>
  <c r="AG482" i="2"/>
  <c r="AF482" i="2"/>
  <c r="E482" i="2"/>
  <c r="AT481" i="2"/>
  <c r="AJ481" i="2"/>
  <c r="D481" i="2"/>
  <c r="AI481" i="2"/>
  <c r="AG481" i="2"/>
  <c r="AF481" i="2"/>
  <c r="E481" i="2"/>
  <c r="AT480" i="2"/>
  <c r="AJ480" i="2"/>
  <c r="D480" i="2"/>
  <c r="AI480" i="2"/>
  <c r="AG480" i="2"/>
  <c r="AF480" i="2"/>
  <c r="E480" i="2"/>
  <c r="AT479" i="2"/>
  <c r="AJ479" i="2"/>
  <c r="D479" i="2"/>
  <c r="AI479" i="2"/>
  <c r="AG479" i="2"/>
  <c r="AF479" i="2"/>
  <c r="E479" i="2"/>
  <c r="AT478" i="2"/>
  <c r="AJ478" i="2"/>
  <c r="D478" i="2"/>
  <c r="AI478" i="2"/>
  <c r="AG478" i="2"/>
  <c r="AF478" i="2"/>
  <c r="E478" i="2"/>
  <c r="AT477" i="2"/>
  <c r="AJ477" i="2"/>
  <c r="D477" i="2"/>
  <c r="AI477" i="2"/>
  <c r="AG477" i="2"/>
  <c r="AF477" i="2"/>
  <c r="E477" i="2"/>
  <c r="AT476" i="2"/>
  <c r="AJ476" i="2"/>
  <c r="D476" i="2"/>
  <c r="AI476" i="2"/>
  <c r="AG476" i="2"/>
  <c r="AF476" i="2"/>
  <c r="E476" i="2"/>
  <c r="AT475" i="2"/>
  <c r="AJ475" i="2"/>
  <c r="D475" i="2"/>
  <c r="AI475" i="2"/>
  <c r="AG475" i="2"/>
  <c r="AF475" i="2"/>
  <c r="E475" i="2"/>
  <c r="AT474" i="2"/>
  <c r="AJ474" i="2"/>
  <c r="D474" i="2"/>
  <c r="AI474" i="2"/>
  <c r="AG474" i="2"/>
  <c r="AF474" i="2"/>
  <c r="E474" i="2"/>
  <c r="AT473" i="2"/>
  <c r="AJ473" i="2"/>
  <c r="D473" i="2"/>
  <c r="AI473" i="2"/>
  <c r="AG473" i="2"/>
  <c r="AF473" i="2"/>
  <c r="E473" i="2"/>
  <c r="AT472" i="2"/>
  <c r="AJ472" i="2"/>
  <c r="D472" i="2"/>
  <c r="AI472" i="2"/>
  <c r="AG472" i="2"/>
  <c r="AF472" i="2"/>
  <c r="E472" i="2"/>
  <c r="AT471" i="2"/>
  <c r="AJ471" i="2"/>
  <c r="D471" i="2"/>
  <c r="AI471" i="2"/>
  <c r="AG471" i="2"/>
  <c r="AF471" i="2"/>
  <c r="E471" i="2"/>
  <c r="AT470" i="2"/>
  <c r="AJ470" i="2"/>
  <c r="D470" i="2"/>
  <c r="AI470" i="2"/>
  <c r="AG470" i="2"/>
  <c r="AF470" i="2"/>
  <c r="E470" i="2"/>
  <c r="AT469" i="2"/>
  <c r="AJ469" i="2"/>
  <c r="D469" i="2"/>
  <c r="AI469" i="2"/>
  <c r="AG469" i="2"/>
  <c r="AF469" i="2"/>
  <c r="E469" i="2"/>
  <c r="AT468" i="2"/>
  <c r="AJ468" i="2"/>
  <c r="D468" i="2"/>
  <c r="AI468" i="2"/>
  <c r="AG468" i="2"/>
  <c r="AF468" i="2"/>
  <c r="E468" i="2"/>
  <c r="AT467" i="2"/>
  <c r="AJ467" i="2"/>
  <c r="D467" i="2"/>
  <c r="AI467" i="2"/>
  <c r="AG467" i="2"/>
  <c r="AF467" i="2"/>
  <c r="E467" i="2"/>
  <c r="AT466" i="2"/>
  <c r="AJ466" i="2"/>
  <c r="D466" i="2"/>
  <c r="AI466" i="2"/>
  <c r="AG466" i="2"/>
  <c r="AF466" i="2"/>
  <c r="E466" i="2"/>
  <c r="AT465" i="2"/>
  <c r="AJ465" i="2"/>
  <c r="D465" i="2"/>
  <c r="AI465" i="2"/>
  <c r="AG465" i="2"/>
  <c r="AF465" i="2"/>
  <c r="E465" i="2"/>
  <c r="AT464" i="2"/>
  <c r="AJ464" i="2"/>
  <c r="D464" i="2"/>
  <c r="AI464" i="2"/>
  <c r="AG464" i="2"/>
  <c r="AF464" i="2"/>
  <c r="E464" i="2"/>
  <c r="AT463" i="2"/>
  <c r="AJ463" i="2"/>
  <c r="D463" i="2"/>
  <c r="AI463" i="2"/>
  <c r="AG463" i="2"/>
  <c r="AF463" i="2"/>
  <c r="E463" i="2"/>
  <c r="AT462" i="2"/>
  <c r="AJ462" i="2"/>
  <c r="D462" i="2"/>
  <c r="AI462" i="2"/>
  <c r="AG462" i="2"/>
  <c r="AF462" i="2"/>
  <c r="E462" i="2"/>
  <c r="AT461" i="2"/>
  <c r="AJ461" i="2"/>
  <c r="D461" i="2"/>
  <c r="AI461" i="2"/>
  <c r="AG461" i="2"/>
  <c r="AF461" i="2"/>
  <c r="E461" i="2"/>
  <c r="AT460" i="2"/>
  <c r="AJ460" i="2"/>
  <c r="D460" i="2"/>
  <c r="AI460" i="2"/>
  <c r="AG460" i="2"/>
  <c r="AF460" i="2"/>
  <c r="E460" i="2"/>
  <c r="AT459" i="2"/>
  <c r="AJ459" i="2"/>
  <c r="D459" i="2"/>
  <c r="AI459" i="2"/>
  <c r="AG459" i="2"/>
  <c r="AF459" i="2"/>
  <c r="E459" i="2"/>
  <c r="AT458" i="2"/>
  <c r="AJ458" i="2"/>
  <c r="D458" i="2"/>
  <c r="AI458" i="2"/>
  <c r="AG458" i="2"/>
  <c r="AF458" i="2"/>
  <c r="E458" i="2"/>
  <c r="AT457" i="2"/>
  <c r="AJ457" i="2"/>
  <c r="D457" i="2"/>
  <c r="AI457" i="2"/>
  <c r="AG457" i="2"/>
  <c r="AF457" i="2"/>
  <c r="E457" i="2"/>
  <c r="AT456" i="2"/>
  <c r="AJ456" i="2"/>
  <c r="D456" i="2"/>
  <c r="AI456" i="2"/>
  <c r="AG456" i="2"/>
  <c r="AF456" i="2"/>
  <c r="E456" i="2"/>
  <c r="AT455" i="2"/>
  <c r="AJ455" i="2"/>
  <c r="D455" i="2"/>
  <c r="AI455" i="2"/>
  <c r="AG455" i="2"/>
  <c r="AF455" i="2"/>
  <c r="E455" i="2"/>
  <c r="AT454" i="2"/>
  <c r="AJ454" i="2"/>
  <c r="D454" i="2"/>
  <c r="AI454" i="2"/>
  <c r="AG454" i="2"/>
  <c r="AF454" i="2"/>
  <c r="E454" i="2"/>
  <c r="AT453" i="2"/>
  <c r="AJ453" i="2"/>
  <c r="D453" i="2"/>
  <c r="AI453" i="2"/>
  <c r="AG453" i="2"/>
  <c r="AF453" i="2"/>
  <c r="E453" i="2"/>
  <c r="AT452" i="2"/>
  <c r="AJ452" i="2"/>
  <c r="D452" i="2"/>
  <c r="AI452" i="2"/>
  <c r="AG452" i="2"/>
  <c r="AF452" i="2"/>
  <c r="E452" i="2"/>
  <c r="AT451" i="2"/>
  <c r="AJ451" i="2"/>
  <c r="D451" i="2"/>
  <c r="AI451" i="2"/>
  <c r="AG451" i="2"/>
  <c r="AF451" i="2"/>
  <c r="E451" i="2"/>
  <c r="AT450" i="2"/>
  <c r="AJ450" i="2"/>
  <c r="D450" i="2"/>
  <c r="AI450" i="2"/>
  <c r="AG450" i="2"/>
  <c r="AF450" i="2"/>
  <c r="E450" i="2"/>
  <c r="AT449" i="2"/>
  <c r="AJ449" i="2"/>
  <c r="D449" i="2"/>
  <c r="AI449" i="2"/>
  <c r="AG449" i="2"/>
  <c r="AF449" i="2"/>
  <c r="E449" i="2"/>
  <c r="AT448" i="2"/>
  <c r="AJ448" i="2"/>
  <c r="D448" i="2"/>
  <c r="AI448" i="2"/>
  <c r="AG448" i="2"/>
  <c r="AF448" i="2"/>
  <c r="E448" i="2"/>
  <c r="AT447" i="2"/>
  <c r="AJ447" i="2"/>
  <c r="D447" i="2"/>
  <c r="AI447" i="2"/>
  <c r="AG447" i="2"/>
  <c r="AF447" i="2"/>
  <c r="E447" i="2"/>
  <c r="AT446" i="2"/>
  <c r="AJ446" i="2"/>
  <c r="D446" i="2"/>
  <c r="AI446" i="2"/>
  <c r="AG446" i="2"/>
  <c r="AF446" i="2"/>
  <c r="E446" i="2"/>
  <c r="AT445" i="2"/>
  <c r="AJ445" i="2"/>
  <c r="D445" i="2"/>
  <c r="AI445" i="2"/>
  <c r="AG445" i="2"/>
  <c r="AF445" i="2"/>
  <c r="E445" i="2"/>
  <c r="AT444" i="2"/>
  <c r="AJ444" i="2"/>
  <c r="D444" i="2"/>
  <c r="AI444" i="2"/>
  <c r="AG444" i="2"/>
  <c r="AF444" i="2"/>
  <c r="E444" i="2"/>
  <c r="AT443" i="2"/>
  <c r="AJ443" i="2"/>
  <c r="D443" i="2"/>
  <c r="AI443" i="2"/>
  <c r="AG443" i="2"/>
  <c r="AF443" i="2"/>
  <c r="E443" i="2"/>
  <c r="AT442" i="2"/>
  <c r="AJ442" i="2"/>
  <c r="D442" i="2"/>
  <c r="AI442" i="2"/>
  <c r="AG442" i="2"/>
  <c r="AF442" i="2"/>
  <c r="E442" i="2"/>
  <c r="AT441" i="2"/>
  <c r="AJ441" i="2"/>
  <c r="D441" i="2"/>
  <c r="AI441" i="2"/>
  <c r="AG441" i="2"/>
  <c r="AF441" i="2"/>
  <c r="E441" i="2"/>
  <c r="AT440" i="2"/>
  <c r="AJ440" i="2"/>
  <c r="D440" i="2"/>
  <c r="AI440" i="2"/>
  <c r="AG440" i="2"/>
  <c r="AF440" i="2"/>
  <c r="E440" i="2"/>
  <c r="AT439" i="2"/>
  <c r="AJ439" i="2"/>
  <c r="D439" i="2"/>
  <c r="AI439" i="2"/>
  <c r="AG439" i="2"/>
  <c r="AF439" i="2"/>
  <c r="E439" i="2"/>
  <c r="AT438" i="2"/>
  <c r="AJ438" i="2"/>
  <c r="D438" i="2"/>
  <c r="AI438" i="2"/>
  <c r="AG438" i="2"/>
  <c r="AF438" i="2"/>
  <c r="E438" i="2"/>
  <c r="AT437" i="2"/>
  <c r="AJ437" i="2"/>
  <c r="D437" i="2"/>
  <c r="AI437" i="2"/>
  <c r="AG437" i="2"/>
  <c r="AF437" i="2"/>
  <c r="E437" i="2"/>
  <c r="AT436" i="2"/>
  <c r="AJ436" i="2"/>
  <c r="D436" i="2"/>
  <c r="AI436" i="2"/>
  <c r="AG436" i="2"/>
  <c r="AF436" i="2"/>
  <c r="E436" i="2"/>
  <c r="AT435" i="2"/>
  <c r="AJ435" i="2"/>
  <c r="D435" i="2"/>
  <c r="AI435" i="2"/>
  <c r="AG435" i="2"/>
  <c r="AF435" i="2"/>
  <c r="E435" i="2"/>
  <c r="AT434" i="2"/>
  <c r="AJ434" i="2"/>
  <c r="D434" i="2"/>
  <c r="AI434" i="2"/>
  <c r="AG434" i="2"/>
  <c r="AF434" i="2"/>
  <c r="E434" i="2"/>
  <c r="AT433" i="2"/>
  <c r="AJ433" i="2"/>
  <c r="D433" i="2"/>
  <c r="AI433" i="2"/>
  <c r="AG433" i="2"/>
  <c r="AF433" i="2"/>
  <c r="E433" i="2"/>
  <c r="AT432" i="2"/>
  <c r="AJ432" i="2"/>
  <c r="D432" i="2"/>
  <c r="AI432" i="2"/>
  <c r="AG432" i="2"/>
  <c r="AF432" i="2"/>
  <c r="E432" i="2"/>
  <c r="AT431" i="2"/>
  <c r="AJ431" i="2"/>
  <c r="D431" i="2"/>
  <c r="AI431" i="2"/>
  <c r="AG431" i="2"/>
  <c r="AF431" i="2"/>
  <c r="E431" i="2"/>
  <c r="AT430" i="2"/>
  <c r="AJ430" i="2"/>
  <c r="D430" i="2"/>
  <c r="AI430" i="2"/>
  <c r="AG430" i="2"/>
  <c r="AF430" i="2"/>
  <c r="E430" i="2"/>
  <c r="AT429" i="2"/>
  <c r="AJ429" i="2"/>
  <c r="D429" i="2"/>
  <c r="AI429" i="2"/>
  <c r="AG429" i="2"/>
  <c r="AF429" i="2"/>
  <c r="E429" i="2"/>
  <c r="AT428" i="2"/>
  <c r="AJ428" i="2"/>
  <c r="D428" i="2"/>
  <c r="AI428" i="2"/>
  <c r="AG428" i="2"/>
  <c r="AF428" i="2"/>
  <c r="E428" i="2"/>
  <c r="AT427" i="2"/>
  <c r="AJ427" i="2"/>
  <c r="D427" i="2"/>
  <c r="AI427" i="2"/>
  <c r="AG427" i="2"/>
  <c r="AF427" i="2"/>
  <c r="E427" i="2"/>
  <c r="AT426" i="2"/>
  <c r="AJ426" i="2"/>
  <c r="D426" i="2"/>
  <c r="AI426" i="2"/>
  <c r="AG426" i="2"/>
  <c r="AF426" i="2"/>
  <c r="E426" i="2"/>
  <c r="AT425" i="2"/>
  <c r="AJ425" i="2"/>
  <c r="D425" i="2"/>
  <c r="AI425" i="2"/>
  <c r="AG425" i="2"/>
  <c r="AF425" i="2"/>
  <c r="E425" i="2"/>
  <c r="AT424" i="2"/>
  <c r="AJ424" i="2"/>
  <c r="D424" i="2"/>
  <c r="AI424" i="2"/>
  <c r="AG424" i="2"/>
  <c r="AF424" i="2"/>
  <c r="E424" i="2"/>
  <c r="AT423" i="2"/>
  <c r="AJ423" i="2"/>
  <c r="D423" i="2"/>
  <c r="AI423" i="2"/>
  <c r="AG423" i="2"/>
  <c r="AF423" i="2"/>
  <c r="E423" i="2"/>
  <c r="AT422" i="2"/>
  <c r="AJ422" i="2"/>
  <c r="D422" i="2"/>
  <c r="AI422" i="2"/>
  <c r="AG422" i="2"/>
  <c r="AF422" i="2"/>
  <c r="E422" i="2"/>
  <c r="AT421" i="2"/>
  <c r="AJ421" i="2"/>
  <c r="D421" i="2"/>
  <c r="AI421" i="2"/>
  <c r="AG421" i="2"/>
  <c r="AF421" i="2"/>
  <c r="E421" i="2"/>
  <c r="AT420" i="2"/>
  <c r="AJ420" i="2"/>
  <c r="D420" i="2"/>
  <c r="AI420" i="2"/>
  <c r="AG420" i="2"/>
  <c r="AF420" i="2"/>
  <c r="E420" i="2"/>
  <c r="AT419" i="2"/>
  <c r="AJ419" i="2"/>
  <c r="D419" i="2"/>
  <c r="AI419" i="2"/>
  <c r="AG419" i="2"/>
  <c r="AF419" i="2"/>
  <c r="E419" i="2"/>
  <c r="AT418" i="2"/>
  <c r="AJ418" i="2"/>
  <c r="D418" i="2"/>
  <c r="AI418" i="2"/>
  <c r="AG418" i="2"/>
  <c r="AF418" i="2"/>
  <c r="E418" i="2"/>
  <c r="AT417" i="2"/>
  <c r="AJ417" i="2"/>
  <c r="D417" i="2"/>
  <c r="AI417" i="2"/>
  <c r="AG417" i="2"/>
  <c r="AF417" i="2"/>
  <c r="E417" i="2"/>
  <c r="AT416" i="2"/>
  <c r="AJ416" i="2"/>
  <c r="D416" i="2"/>
  <c r="AI416" i="2"/>
  <c r="AG416" i="2"/>
  <c r="AF416" i="2"/>
  <c r="E416" i="2"/>
  <c r="AT415" i="2"/>
  <c r="AJ415" i="2"/>
  <c r="D415" i="2"/>
  <c r="AI415" i="2"/>
  <c r="AG415" i="2"/>
  <c r="AF415" i="2"/>
  <c r="E415" i="2"/>
  <c r="AT414" i="2"/>
  <c r="AJ414" i="2"/>
  <c r="D414" i="2"/>
  <c r="AI414" i="2"/>
  <c r="AG414" i="2"/>
  <c r="AF414" i="2"/>
  <c r="E414" i="2"/>
  <c r="AT413" i="2"/>
  <c r="AJ413" i="2"/>
  <c r="D413" i="2"/>
  <c r="AI413" i="2"/>
  <c r="AG413" i="2"/>
  <c r="AF413" i="2"/>
  <c r="E413" i="2"/>
  <c r="AT412" i="2"/>
  <c r="AJ412" i="2"/>
  <c r="D412" i="2"/>
  <c r="AI412" i="2"/>
  <c r="AG412" i="2"/>
  <c r="AF412" i="2"/>
  <c r="E412" i="2"/>
  <c r="AT411" i="2"/>
  <c r="AJ411" i="2"/>
  <c r="D411" i="2"/>
  <c r="AI411" i="2"/>
  <c r="AG411" i="2"/>
  <c r="AF411" i="2"/>
  <c r="E411" i="2"/>
  <c r="AT410" i="2"/>
  <c r="AJ410" i="2"/>
  <c r="D410" i="2"/>
  <c r="AI410" i="2"/>
  <c r="AG410" i="2"/>
  <c r="AF410" i="2"/>
  <c r="E410" i="2"/>
  <c r="AT409" i="2"/>
  <c r="AJ409" i="2"/>
  <c r="D409" i="2"/>
  <c r="AI409" i="2"/>
  <c r="AG409" i="2"/>
  <c r="AF409" i="2"/>
  <c r="E409" i="2"/>
  <c r="AT408" i="2"/>
  <c r="AJ408" i="2"/>
  <c r="D408" i="2"/>
  <c r="AI408" i="2"/>
  <c r="AG408" i="2"/>
  <c r="AF408" i="2"/>
  <c r="E408" i="2"/>
  <c r="AT407" i="2"/>
  <c r="AJ407" i="2"/>
  <c r="D407" i="2"/>
  <c r="AI407" i="2"/>
  <c r="AG407" i="2"/>
  <c r="AF407" i="2"/>
  <c r="E407" i="2"/>
  <c r="AT406" i="2"/>
  <c r="AJ406" i="2"/>
  <c r="D406" i="2"/>
  <c r="AI406" i="2"/>
  <c r="AG406" i="2"/>
  <c r="AF406" i="2"/>
  <c r="E406" i="2"/>
  <c r="AT405" i="2"/>
  <c r="AJ405" i="2"/>
  <c r="D405" i="2"/>
  <c r="AI405" i="2"/>
  <c r="AG405" i="2"/>
  <c r="AF405" i="2"/>
  <c r="E405" i="2"/>
  <c r="AT404" i="2"/>
  <c r="AJ404" i="2"/>
  <c r="D404" i="2"/>
  <c r="AI404" i="2"/>
  <c r="AG404" i="2"/>
  <c r="AF404" i="2"/>
  <c r="E404" i="2"/>
  <c r="AT403" i="2"/>
  <c r="AJ403" i="2"/>
  <c r="D403" i="2"/>
  <c r="AI403" i="2"/>
  <c r="AG403" i="2"/>
  <c r="AF403" i="2"/>
  <c r="E403" i="2"/>
  <c r="AT402" i="2"/>
  <c r="AJ402" i="2"/>
  <c r="D402" i="2"/>
  <c r="AI402" i="2"/>
  <c r="AG402" i="2"/>
  <c r="AF402" i="2"/>
  <c r="E402" i="2"/>
  <c r="AT401" i="2"/>
  <c r="AJ401" i="2"/>
  <c r="D401" i="2"/>
  <c r="AI401" i="2"/>
  <c r="AG401" i="2"/>
  <c r="AF401" i="2"/>
  <c r="E401" i="2"/>
  <c r="AT400" i="2"/>
  <c r="AJ400" i="2"/>
  <c r="D400" i="2"/>
  <c r="AI400" i="2"/>
  <c r="AG400" i="2"/>
  <c r="AF400" i="2"/>
  <c r="E400" i="2"/>
  <c r="AT399" i="2"/>
  <c r="AJ399" i="2"/>
  <c r="D399" i="2"/>
  <c r="AI399" i="2"/>
  <c r="AG399" i="2"/>
  <c r="AF399" i="2"/>
  <c r="E399" i="2"/>
  <c r="AT398" i="2"/>
  <c r="AJ398" i="2"/>
  <c r="D398" i="2"/>
  <c r="AI398" i="2"/>
  <c r="AG398" i="2"/>
  <c r="AF398" i="2"/>
  <c r="E398" i="2"/>
  <c r="AT397" i="2"/>
  <c r="AJ397" i="2"/>
  <c r="D397" i="2"/>
  <c r="AI397" i="2"/>
  <c r="AG397" i="2"/>
  <c r="AF397" i="2"/>
  <c r="E397" i="2"/>
  <c r="AT396" i="2"/>
  <c r="AJ396" i="2"/>
  <c r="D396" i="2"/>
  <c r="AI396" i="2"/>
  <c r="AG396" i="2"/>
  <c r="AF396" i="2"/>
  <c r="E396" i="2"/>
  <c r="AT395" i="2"/>
  <c r="AJ395" i="2"/>
  <c r="D395" i="2"/>
  <c r="AI395" i="2"/>
  <c r="AG395" i="2"/>
  <c r="AF395" i="2"/>
  <c r="E395" i="2"/>
  <c r="AT394" i="2"/>
  <c r="AJ394" i="2"/>
  <c r="D394" i="2"/>
  <c r="AI394" i="2"/>
  <c r="AG394" i="2"/>
  <c r="AF394" i="2"/>
  <c r="E394" i="2"/>
  <c r="AT393" i="2"/>
  <c r="AJ393" i="2"/>
  <c r="D393" i="2"/>
  <c r="AI393" i="2"/>
  <c r="AG393" i="2"/>
  <c r="AF393" i="2"/>
  <c r="E393" i="2"/>
  <c r="AT392" i="2"/>
  <c r="AJ392" i="2"/>
  <c r="D392" i="2"/>
  <c r="AI392" i="2"/>
  <c r="AG392" i="2"/>
  <c r="AF392" i="2"/>
  <c r="E392" i="2"/>
  <c r="AT391" i="2"/>
  <c r="AJ391" i="2"/>
  <c r="D391" i="2"/>
  <c r="AI391" i="2"/>
  <c r="AG391" i="2"/>
  <c r="AF391" i="2"/>
  <c r="E391" i="2"/>
  <c r="AT390" i="2"/>
  <c r="AJ390" i="2"/>
  <c r="D390" i="2"/>
  <c r="AI390" i="2"/>
  <c r="AG390" i="2"/>
  <c r="AF390" i="2"/>
  <c r="E390" i="2"/>
  <c r="AT389" i="2"/>
  <c r="AJ389" i="2"/>
  <c r="D389" i="2"/>
  <c r="AI389" i="2"/>
  <c r="AG389" i="2"/>
  <c r="AF389" i="2"/>
  <c r="E389" i="2"/>
  <c r="AT388" i="2"/>
  <c r="AJ388" i="2"/>
  <c r="D388" i="2"/>
  <c r="AI388" i="2"/>
  <c r="AG388" i="2"/>
  <c r="AF388" i="2"/>
  <c r="E388" i="2"/>
  <c r="AT387" i="2"/>
  <c r="AJ387" i="2"/>
  <c r="D387" i="2"/>
  <c r="AI387" i="2"/>
  <c r="AG387" i="2"/>
  <c r="AF387" i="2"/>
  <c r="E387" i="2"/>
  <c r="AT386" i="2"/>
  <c r="AJ386" i="2"/>
  <c r="D386" i="2"/>
  <c r="AI386" i="2"/>
  <c r="AG386" i="2"/>
  <c r="AF386" i="2"/>
  <c r="E386" i="2"/>
  <c r="AT385" i="2"/>
  <c r="AJ385" i="2"/>
  <c r="D385" i="2"/>
  <c r="AI385" i="2"/>
  <c r="AG385" i="2"/>
  <c r="AF385" i="2"/>
  <c r="E385" i="2"/>
  <c r="AT384" i="2"/>
  <c r="AJ384" i="2"/>
  <c r="D384" i="2"/>
  <c r="AI384" i="2"/>
  <c r="AG384" i="2"/>
  <c r="AF384" i="2"/>
  <c r="E384" i="2"/>
  <c r="AT383" i="2"/>
  <c r="AJ383" i="2"/>
  <c r="D383" i="2"/>
  <c r="AI383" i="2"/>
  <c r="AG383" i="2"/>
  <c r="AF383" i="2"/>
  <c r="E383" i="2"/>
  <c r="AT382" i="2"/>
  <c r="AJ382" i="2"/>
  <c r="D382" i="2"/>
  <c r="AI382" i="2"/>
  <c r="AG382" i="2"/>
  <c r="AF382" i="2"/>
  <c r="E382" i="2"/>
  <c r="AT381" i="2"/>
  <c r="AJ381" i="2"/>
  <c r="D381" i="2"/>
  <c r="AI381" i="2"/>
  <c r="AG381" i="2"/>
  <c r="AF381" i="2"/>
  <c r="E381" i="2"/>
  <c r="AT380" i="2"/>
  <c r="AJ380" i="2"/>
  <c r="D380" i="2"/>
  <c r="AI380" i="2"/>
  <c r="AG380" i="2"/>
  <c r="AF380" i="2"/>
  <c r="E380" i="2"/>
  <c r="AT379" i="2"/>
  <c r="AJ379" i="2"/>
  <c r="D379" i="2"/>
  <c r="AI379" i="2"/>
  <c r="AG379" i="2"/>
  <c r="AF379" i="2"/>
  <c r="E379" i="2"/>
  <c r="AT378" i="2"/>
  <c r="AJ378" i="2"/>
  <c r="D378" i="2"/>
  <c r="AI378" i="2"/>
  <c r="AG378" i="2"/>
  <c r="AF378" i="2"/>
  <c r="E378" i="2"/>
  <c r="AT377" i="2"/>
  <c r="AJ377" i="2"/>
  <c r="D377" i="2"/>
  <c r="AI377" i="2"/>
  <c r="AG377" i="2"/>
  <c r="AF377" i="2"/>
  <c r="E377" i="2"/>
  <c r="AT376" i="2"/>
  <c r="AJ376" i="2"/>
  <c r="D376" i="2"/>
  <c r="AI376" i="2"/>
  <c r="AG376" i="2"/>
  <c r="AF376" i="2"/>
  <c r="E376" i="2"/>
  <c r="AT375" i="2"/>
  <c r="AJ375" i="2"/>
  <c r="D375" i="2"/>
  <c r="AI375" i="2"/>
  <c r="AG375" i="2"/>
  <c r="AF375" i="2"/>
  <c r="E375" i="2"/>
  <c r="AT374" i="2"/>
  <c r="AJ374" i="2"/>
  <c r="D374" i="2"/>
  <c r="AI374" i="2"/>
  <c r="AG374" i="2"/>
  <c r="AF374" i="2"/>
  <c r="E374" i="2"/>
  <c r="AT373" i="2"/>
  <c r="AJ373" i="2"/>
  <c r="D373" i="2"/>
  <c r="AI373" i="2"/>
  <c r="AG373" i="2"/>
  <c r="AF373" i="2"/>
  <c r="E373" i="2"/>
  <c r="AT372" i="2"/>
  <c r="AJ372" i="2"/>
  <c r="D372" i="2"/>
  <c r="AI372" i="2"/>
  <c r="AG372" i="2"/>
  <c r="AF372" i="2"/>
  <c r="E372" i="2"/>
  <c r="AT371" i="2"/>
  <c r="AJ371" i="2"/>
  <c r="D371" i="2"/>
  <c r="AI371" i="2"/>
  <c r="AG371" i="2"/>
  <c r="AF371" i="2"/>
  <c r="E371" i="2"/>
  <c r="AT370" i="2"/>
  <c r="AJ370" i="2"/>
  <c r="D370" i="2"/>
  <c r="AI370" i="2"/>
  <c r="AG370" i="2"/>
  <c r="AF370" i="2"/>
  <c r="E370" i="2"/>
  <c r="AT369" i="2"/>
  <c r="AJ369" i="2"/>
  <c r="D369" i="2"/>
  <c r="AI369" i="2"/>
  <c r="AG369" i="2"/>
  <c r="AF369" i="2"/>
  <c r="E369" i="2"/>
  <c r="AT368" i="2"/>
  <c r="AJ368" i="2"/>
  <c r="D368" i="2"/>
  <c r="AI368" i="2"/>
  <c r="AG368" i="2"/>
  <c r="AF368" i="2"/>
  <c r="E368" i="2"/>
  <c r="AT367" i="2"/>
  <c r="AJ367" i="2"/>
  <c r="D367" i="2"/>
  <c r="AI367" i="2"/>
  <c r="AG367" i="2"/>
  <c r="AF367" i="2"/>
  <c r="E367" i="2"/>
  <c r="AT366" i="2"/>
  <c r="AJ366" i="2"/>
  <c r="D366" i="2"/>
  <c r="AI366" i="2"/>
  <c r="AG366" i="2"/>
  <c r="AF366" i="2"/>
  <c r="E366" i="2"/>
  <c r="AT365" i="2"/>
  <c r="AJ365" i="2"/>
  <c r="D365" i="2"/>
  <c r="AI365" i="2"/>
  <c r="AG365" i="2"/>
  <c r="AF365" i="2"/>
  <c r="E365" i="2"/>
  <c r="AT364" i="2"/>
  <c r="AJ364" i="2"/>
  <c r="D364" i="2"/>
  <c r="AI364" i="2"/>
  <c r="AG364" i="2"/>
  <c r="AF364" i="2"/>
  <c r="E364" i="2"/>
  <c r="AT363" i="2"/>
  <c r="AJ363" i="2"/>
  <c r="D363" i="2"/>
  <c r="AI363" i="2"/>
  <c r="AG363" i="2"/>
  <c r="AF363" i="2"/>
  <c r="E363" i="2"/>
  <c r="AT362" i="2"/>
  <c r="AJ362" i="2"/>
  <c r="D362" i="2"/>
  <c r="AI362" i="2"/>
  <c r="AG362" i="2"/>
  <c r="AF362" i="2"/>
  <c r="E362" i="2"/>
  <c r="AT361" i="2"/>
  <c r="AJ361" i="2"/>
  <c r="D361" i="2"/>
  <c r="AI361" i="2"/>
  <c r="AG361" i="2"/>
  <c r="AF361" i="2"/>
  <c r="E361" i="2"/>
  <c r="AT360" i="2"/>
  <c r="AJ360" i="2"/>
  <c r="D360" i="2"/>
  <c r="AI360" i="2"/>
  <c r="AG360" i="2"/>
  <c r="AF360" i="2"/>
  <c r="E360" i="2"/>
  <c r="AT359" i="2"/>
  <c r="AJ359" i="2"/>
  <c r="D359" i="2"/>
  <c r="AI359" i="2"/>
  <c r="AG359" i="2"/>
  <c r="AF359" i="2"/>
  <c r="E359" i="2"/>
  <c r="AT358" i="2"/>
  <c r="AJ358" i="2"/>
  <c r="D358" i="2"/>
  <c r="AI358" i="2"/>
  <c r="AG358" i="2"/>
  <c r="AF358" i="2"/>
  <c r="E358" i="2"/>
  <c r="AT357" i="2"/>
  <c r="AJ357" i="2"/>
  <c r="D357" i="2"/>
  <c r="AI357" i="2"/>
  <c r="AG357" i="2"/>
  <c r="AF357" i="2"/>
  <c r="E357" i="2"/>
  <c r="AT356" i="2"/>
  <c r="AJ356" i="2"/>
  <c r="D356" i="2"/>
  <c r="AI356" i="2"/>
  <c r="AG356" i="2"/>
  <c r="AF356" i="2"/>
  <c r="E356" i="2"/>
  <c r="AT355" i="2"/>
  <c r="AJ355" i="2"/>
  <c r="D355" i="2"/>
  <c r="AI355" i="2"/>
  <c r="AG355" i="2"/>
  <c r="AF355" i="2"/>
  <c r="E355" i="2"/>
  <c r="AT354" i="2"/>
  <c r="AJ354" i="2"/>
  <c r="D354" i="2"/>
  <c r="AI354" i="2"/>
  <c r="AG354" i="2"/>
  <c r="AF354" i="2"/>
  <c r="E354" i="2"/>
  <c r="AT353" i="2"/>
  <c r="AJ353" i="2"/>
  <c r="D353" i="2"/>
  <c r="AI353" i="2"/>
  <c r="AG353" i="2"/>
  <c r="AF353" i="2"/>
  <c r="E353" i="2"/>
  <c r="AT352" i="2"/>
  <c r="AJ352" i="2"/>
  <c r="D352" i="2"/>
  <c r="AI352" i="2"/>
  <c r="AG352" i="2"/>
  <c r="AF352" i="2"/>
  <c r="E352" i="2"/>
  <c r="AT351" i="2"/>
  <c r="AJ351" i="2"/>
  <c r="D351" i="2"/>
  <c r="AI351" i="2"/>
  <c r="AG351" i="2"/>
  <c r="AF351" i="2"/>
  <c r="E351" i="2"/>
  <c r="AT350" i="2"/>
  <c r="AJ350" i="2"/>
  <c r="D350" i="2"/>
  <c r="AI350" i="2"/>
  <c r="AG350" i="2"/>
  <c r="AF350" i="2"/>
  <c r="E350" i="2"/>
  <c r="AT349" i="2"/>
  <c r="AJ349" i="2"/>
  <c r="D349" i="2"/>
  <c r="AI349" i="2"/>
  <c r="AG349" i="2"/>
  <c r="AF349" i="2"/>
  <c r="E349" i="2"/>
  <c r="AT348" i="2"/>
  <c r="AJ348" i="2"/>
  <c r="D348" i="2"/>
  <c r="AI348" i="2"/>
  <c r="AG348" i="2"/>
  <c r="AF348" i="2"/>
  <c r="E348" i="2"/>
  <c r="AT347" i="2"/>
  <c r="AJ347" i="2"/>
  <c r="D347" i="2"/>
  <c r="AI347" i="2"/>
  <c r="AG347" i="2"/>
  <c r="AF347" i="2"/>
  <c r="E347" i="2"/>
  <c r="AT346" i="2"/>
  <c r="AJ346" i="2"/>
  <c r="D346" i="2"/>
  <c r="AI346" i="2"/>
  <c r="AG346" i="2"/>
  <c r="AF346" i="2"/>
  <c r="E346" i="2"/>
  <c r="AT345" i="2"/>
  <c r="AJ345" i="2"/>
  <c r="D345" i="2"/>
  <c r="AI345" i="2"/>
  <c r="AG345" i="2"/>
  <c r="AF345" i="2"/>
  <c r="E345" i="2"/>
  <c r="AT344" i="2"/>
  <c r="AJ344" i="2"/>
  <c r="D344" i="2"/>
  <c r="AI344" i="2"/>
  <c r="AG344" i="2"/>
  <c r="AF344" i="2"/>
  <c r="E344" i="2"/>
  <c r="AT343" i="2"/>
  <c r="AJ343" i="2"/>
  <c r="D343" i="2"/>
  <c r="AI343" i="2"/>
  <c r="AG343" i="2"/>
  <c r="AF343" i="2"/>
  <c r="E343" i="2"/>
  <c r="AT342" i="2"/>
  <c r="AJ342" i="2"/>
  <c r="D342" i="2"/>
  <c r="AI342" i="2"/>
  <c r="AG342" i="2"/>
  <c r="AF342" i="2"/>
  <c r="E342" i="2"/>
  <c r="AT341" i="2"/>
  <c r="AJ341" i="2"/>
  <c r="D341" i="2"/>
  <c r="AI341" i="2"/>
  <c r="AG341" i="2"/>
  <c r="AF341" i="2"/>
  <c r="E341" i="2"/>
  <c r="AT340" i="2"/>
  <c r="AJ340" i="2"/>
  <c r="D340" i="2"/>
  <c r="AI340" i="2"/>
  <c r="AG340" i="2"/>
  <c r="AF340" i="2"/>
  <c r="E340" i="2"/>
  <c r="AT339" i="2"/>
  <c r="AJ339" i="2"/>
  <c r="D339" i="2"/>
  <c r="AI339" i="2"/>
  <c r="AG339" i="2"/>
  <c r="AF339" i="2"/>
  <c r="E339" i="2"/>
  <c r="AT338" i="2"/>
  <c r="AJ338" i="2"/>
  <c r="D338" i="2"/>
  <c r="AI338" i="2"/>
  <c r="AG338" i="2"/>
  <c r="AF338" i="2"/>
  <c r="E338" i="2"/>
  <c r="AT337" i="2"/>
  <c r="AJ337" i="2"/>
  <c r="D337" i="2"/>
  <c r="AI337" i="2"/>
  <c r="AG337" i="2"/>
  <c r="AF337" i="2"/>
  <c r="E337" i="2"/>
  <c r="AT336" i="2"/>
  <c r="AJ336" i="2"/>
  <c r="D336" i="2"/>
  <c r="AI336" i="2"/>
  <c r="AG336" i="2"/>
  <c r="AF336" i="2"/>
  <c r="E336" i="2"/>
  <c r="AT335" i="2"/>
  <c r="AJ335" i="2"/>
  <c r="D335" i="2"/>
  <c r="AI335" i="2"/>
  <c r="AG335" i="2"/>
  <c r="AF335" i="2"/>
  <c r="E335" i="2"/>
  <c r="AT334" i="2"/>
  <c r="AJ334" i="2"/>
  <c r="D334" i="2"/>
  <c r="AI334" i="2"/>
  <c r="AG334" i="2"/>
  <c r="AF334" i="2"/>
  <c r="E334" i="2"/>
  <c r="AT333" i="2"/>
  <c r="AJ333" i="2"/>
  <c r="D333" i="2"/>
  <c r="AI333" i="2"/>
  <c r="AG333" i="2"/>
  <c r="AF333" i="2"/>
  <c r="E333" i="2"/>
  <c r="AT332" i="2"/>
  <c r="AJ332" i="2"/>
  <c r="D332" i="2"/>
  <c r="AI332" i="2"/>
  <c r="AG332" i="2"/>
  <c r="AF332" i="2"/>
  <c r="E332" i="2"/>
  <c r="AT331" i="2"/>
  <c r="AJ331" i="2"/>
  <c r="D331" i="2"/>
  <c r="AI331" i="2"/>
  <c r="AG331" i="2"/>
  <c r="AF331" i="2"/>
  <c r="E331" i="2"/>
  <c r="AT330" i="2"/>
  <c r="AJ330" i="2"/>
  <c r="D330" i="2"/>
  <c r="AI330" i="2"/>
  <c r="AG330" i="2"/>
  <c r="AF330" i="2"/>
  <c r="E330" i="2"/>
  <c r="AT329" i="2"/>
  <c r="AJ329" i="2"/>
  <c r="D329" i="2"/>
  <c r="AI329" i="2"/>
  <c r="AG329" i="2"/>
  <c r="AF329" i="2"/>
  <c r="E329" i="2"/>
  <c r="AT328" i="2"/>
  <c r="AJ328" i="2"/>
  <c r="D328" i="2"/>
  <c r="AI328" i="2"/>
  <c r="AG328" i="2"/>
  <c r="AF328" i="2"/>
  <c r="E328" i="2"/>
  <c r="AT327" i="2"/>
  <c r="AJ327" i="2"/>
  <c r="D327" i="2"/>
  <c r="AI327" i="2"/>
  <c r="AG327" i="2"/>
  <c r="AF327" i="2"/>
  <c r="E327" i="2"/>
  <c r="AT326" i="2"/>
  <c r="AJ326" i="2"/>
  <c r="D326" i="2"/>
  <c r="AI326" i="2"/>
  <c r="AG326" i="2"/>
  <c r="AF326" i="2"/>
  <c r="E326" i="2"/>
  <c r="AT325" i="2"/>
  <c r="AJ325" i="2"/>
  <c r="D325" i="2"/>
  <c r="AI325" i="2"/>
  <c r="AG325" i="2"/>
  <c r="AF325" i="2"/>
  <c r="E325" i="2"/>
  <c r="AT324" i="2"/>
  <c r="AJ324" i="2"/>
  <c r="D324" i="2"/>
  <c r="AI324" i="2"/>
  <c r="AG324" i="2"/>
  <c r="AF324" i="2"/>
  <c r="E324" i="2"/>
  <c r="AT323" i="2"/>
  <c r="AJ323" i="2"/>
  <c r="D323" i="2"/>
  <c r="AI323" i="2"/>
  <c r="AG323" i="2"/>
  <c r="AF323" i="2"/>
  <c r="E323" i="2"/>
  <c r="AT322" i="2"/>
  <c r="AJ322" i="2"/>
  <c r="D322" i="2"/>
  <c r="AI322" i="2"/>
  <c r="AG322" i="2"/>
  <c r="AF322" i="2"/>
  <c r="E322" i="2"/>
  <c r="AT321" i="2"/>
  <c r="AJ321" i="2"/>
  <c r="D321" i="2"/>
  <c r="AI321" i="2"/>
  <c r="AG321" i="2"/>
  <c r="AF321" i="2"/>
  <c r="E321" i="2"/>
  <c r="AT320" i="2"/>
  <c r="AJ320" i="2"/>
  <c r="D320" i="2"/>
  <c r="AI320" i="2"/>
  <c r="AG320" i="2"/>
  <c r="AF320" i="2"/>
  <c r="E320" i="2"/>
  <c r="AT319" i="2"/>
  <c r="AJ319" i="2"/>
  <c r="D319" i="2"/>
  <c r="AI319" i="2"/>
  <c r="AG319" i="2"/>
  <c r="AF319" i="2"/>
  <c r="E319" i="2"/>
  <c r="AT318" i="2"/>
  <c r="AJ318" i="2"/>
  <c r="D318" i="2"/>
  <c r="AI318" i="2"/>
  <c r="AG318" i="2"/>
  <c r="AF318" i="2"/>
  <c r="E318" i="2"/>
  <c r="AT317" i="2"/>
  <c r="AJ317" i="2"/>
  <c r="D317" i="2"/>
  <c r="AI317" i="2"/>
  <c r="AG317" i="2"/>
  <c r="AF317" i="2"/>
  <c r="E317" i="2"/>
  <c r="AT316" i="2"/>
  <c r="AJ316" i="2"/>
  <c r="D316" i="2"/>
  <c r="AI316" i="2"/>
  <c r="AG316" i="2"/>
  <c r="AF316" i="2"/>
  <c r="E316" i="2"/>
  <c r="AT315" i="2"/>
  <c r="AJ315" i="2"/>
  <c r="D315" i="2"/>
  <c r="AI315" i="2"/>
  <c r="AG315" i="2"/>
  <c r="AF315" i="2"/>
  <c r="E315" i="2"/>
  <c r="AT314" i="2"/>
  <c r="AJ314" i="2"/>
  <c r="D314" i="2"/>
  <c r="AI314" i="2"/>
  <c r="AG314" i="2"/>
  <c r="AF314" i="2"/>
  <c r="E314" i="2"/>
  <c r="AT313" i="2"/>
  <c r="AJ313" i="2"/>
  <c r="D313" i="2"/>
  <c r="AI313" i="2"/>
  <c r="AG313" i="2"/>
  <c r="AF313" i="2"/>
  <c r="E313" i="2"/>
  <c r="AT312" i="2"/>
  <c r="AJ312" i="2"/>
  <c r="D312" i="2"/>
  <c r="AI312" i="2"/>
  <c r="AG312" i="2"/>
  <c r="AF312" i="2"/>
  <c r="E312" i="2"/>
  <c r="AT311" i="2"/>
  <c r="AJ311" i="2"/>
  <c r="D311" i="2"/>
  <c r="AI311" i="2"/>
  <c r="AG311" i="2"/>
  <c r="AF311" i="2"/>
  <c r="E311" i="2"/>
  <c r="AT310" i="2"/>
  <c r="AJ310" i="2"/>
  <c r="D310" i="2"/>
  <c r="AI310" i="2"/>
  <c r="AG310" i="2"/>
  <c r="AF310" i="2"/>
  <c r="E310" i="2"/>
  <c r="AT309" i="2"/>
  <c r="AJ309" i="2"/>
  <c r="D309" i="2"/>
  <c r="AI309" i="2"/>
  <c r="AG309" i="2"/>
  <c r="AF309" i="2"/>
  <c r="E309" i="2"/>
  <c r="AT308" i="2"/>
  <c r="AJ308" i="2"/>
  <c r="D308" i="2"/>
  <c r="AI308" i="2"/>
  <c r="AG308" i="2"/>
  <c r="AF308" i="2"/>
  <c r="E308" i="2"/>
  <c r="AT307" i="2"/>
  <c r="AJ307" i="2"/>
  <c r="D307" i="2"/>
  <c r="AI307" i="2"/>
  <c r="AG307" i="2"/>
  <c r="AF307" i="2"/>
  <c r="E307" i="2"/>
  <c r="AT306" i="2"/>
  <c r="AJ306" i="2"/>
  <c r="D306" i="2"/>
  <c r="AI306" i="2"/>
  <c r="AG306" i="2"/>
  <c r="AF306" i="2"/>
  <c r="E306" i="2"/>
  <c r="AT305" i="2"/>
  <c r="AJ305" i="2"/>
  <c r="D305" i="2"/>
  <c r="AI305" i="2"/>
  <c r="AG305" i="2"/>
  <c r="AF305" i="2"/>
  <c r="E305" i="2"/>
  <c r="AT304" i="2"/>
  <c r="AJ304" i="2"/>
  <c r="D304" i="2"/>
  <c r="AI304" i="2"/>
  <c r="AG304" i="2"/>
  <c r="AF304" i="2"/>
  <c r="E304" i="2"/>
  <c r="AT303" i="2"/>
  <c r="AJ303" i="2"/>
  <c r="D303" i="2"/>
  <c r="AI303" i="2"/>
  <c r="AG303" i="2"/>
  <c r="AF303" i="2"/>
  <c r="E303" i="2"/>
  <c r="AT302" i="2"/>
  <c r="AJ302" i="2"/>
  <c r="D302" i="2"/>
  <c r="AI302" i="2"/>
  <c r="AG302" i="2"/>
  <c r="AF302" i="2"/>
  <c r="E302" i="2"/>
  <c r="AT301" i="2"/>
  <c r="AJ301" i="2"/>
  <c r="D301" i="2"/>
  <c r="AI301" i="2"/>
  <c r="AG301" i="2"/>
  <c r="AF301" i="2"/>
  <c r="E301" i="2"/>
  <c r="AT300" i="2"/>
  <c r="AJ300" i="2"/>
  <c r="D300" i="2"/>
  <c r="AI300" i="2"/>
  <c r="AG300" i="2"/>
  <c r="AF300" i="2"/>
  <c r="E300" i="2"/>
  <c r="AT299" i="2"/>
  <c r="AJ299" i="2"/>
  <c r="D299" i="2"/>
  <c r="AI299" i="2"/>
  <c r="AG299" i="2"/>
  <c r="AF299" i="2"/>
  <c r="E299" i="2"/>
  <c r="AT298" i="2"/>
  <c r="AJ298" i="2"/>
  <c r="D298" i="2"/>
  <c r="AI298" i="2"/>
  <c r="AG298" i="2"/>
  <c r="AF298" i="2"/>
  <c r="E298" i="2"/>
  <c r="AT297" i="2"/>
  <c r="AJ297" i="2"/>
  <c r="D297" i="2"/>
  <c r="AI297" i="2"/>
  <c r="AG297" i="2"/>
  <c r="AF297" i="2"/>
  <c r="E297" i="2"/>
  <c r="AT296" i="2"/>
  <c r="AJ296" i="2"/>
  <c r="D296" i="2"/>
  <c r="AI296" i="2"/>
  <c r="AG296" i="2"/>
  <c r="AF296" i="2"/>
  <c r="E296" i="2"/>
  <c r="AT295" i="2"/>
  <c r="AJ295" i="2"/>
  <c r="D295" i="2"/>
  <c r="AI295" i="2"/>
  <c r="AG295" i="2"/>
  <c r="AF295" i="2"/>
  <c r="E295" i="2"/>
  <c r="AT294" i="2"/>
  <c r="AJ294" i="2"/>
  <c r="D294" i="2"/>
  <c r="AI294" i="2"/>
  <c r="AG294" i="2"/>
  <c r="AF294" i="2"/>
  <c r="E294" i="2"/>
  <c r="AT293" i="2"/>
  <c r="AJ293" i="2"/>
  <c r="D293" i="2"/>
  <c r="AI293" i="2"/>
  <c r="AG293" i="2"/>
  <c r="AF293" i="2"/>
  <c r="E293" i="2"/>
  <c r="AT292" i="2"/>
  <c r="AJ292" i="2"/>
  <c r="D292" i="2"/>
  <c r="AI292" i="2"/>
  <c r="AG292" i="2"/>
  <c r="AF292" i="2"/>
  <c r="E292" i="2"/>
  <c r="AT291" i="2"/>
  <c r="AJ291" i="2"/>
  <c r="D291" i="2"/>
  <c r="AI291" i="2"/>
  <c r="AG291" i="2"/>
  <c r="AF291" i="2"/>
  <c r="E291" i="2"/>
  <c r="AT290" i="2"/>
  <c r="AJ290" i="2"/>
  <c r="D290" i="2"/>
  <c r="AI290" i="2"/>
  <c r="AG290" i="2"/>
  <c r="AF290" i="2"/>
  <c r="E290" i="2"/>
  <c r="AT289" i="2"/>
  <c r="AJ289" i="2"/>
  <c r="D289" i="2"/>
  <c r="AI289" i="2"/>
  <c r="AG289" i="2"/>
  <c r="AF289" i="2"/>
  <c r="E289" i="2"/>
  <c r="AT288" i="2"/>
  <c r="AJ288" i="2"/>
  <c r="D288" i="2"/>
  <c r="AI288" i="2"/>
  <c r="AG288" i="2"/>
  <c r="AF288" i="2"/>
  <c r="E288" i="2"/>
  <c r="AT287" i="2"/>
  <c r="AJ287" i="2"/>
  <c r="D287" i="2"/>
  <c r="AI287" i="2"/>
  <c r="AG287" i="2"/>
  <c r="AF287" i="2"/>
  <c r="E287" i="2"/>
  <c r="AT286" i="2"/>
  <c r="AJ286" i="2"/>
  <c r="D286" i="2"/>
  <c r="AI286" i="2"/>
  <c r="AG286" i="2"/>
  <c r="AF286" i="2"/>
  <c r="E286" i="2"/>
  <c r="AT285" i="2"/>
  <c r="AJ285" i="2"/>
  <c r="D285" i="2"/>
  <c r="AI285" i="2"/>
  <c r="AG285" i="2"/>
  <c r="AF285" i="2"/>
  <c r="E285" i="2"/>
  <c r="AT284" i="2"/>
  <c r="AJ284" i="2"/>
  <c r="D284" i="2"/>
  <c r="AI284" i="2"/>
  <c r="AG284" i="2"/>
  <c r="AF284" i="2"/>
  <c r="E284" i="2"/>
  <c r="AT283" i="2"/>
  <c r="AJ283" i="2"/>
  <c r="D283" i="2"/>
  <c r="AI283" i="2"/>
  <c r="AG283" i="2"/>
  <c r="AF283" i="2"/>
  <c r="E283" i="2"/>
  <c r="AT282" i="2"/>
  <c r="AJ282" i="2"/>
  <c r="D282" i="2"/>
  <c r="AI282" i="2"/>
  <c r="AG282" i="2"/>
  <c r="AF282" i="2"/>
  <c r="E282" i="2"/>
  <c r="AT281" i="2"/>
  <c r="AJ281" i="2"/>
  <c r="D281" i="2"/>
  <c r="AI281" i="2"/>
  <c r="AG281" i="2"/>
  <c r="AF281" i="2"/>
  <c r="E281" i="2"/>
  <c r="AT280" i="2"/>
  <c r="AJ280" i="2"/>
  <c r="D280" i="2"/>
  <c r="AI280" i="2"/>
  <c r="AG280" i="2"/>
  <c r="AF280" i="2"/>
  <c r="E280" i="2"/>
  <c r="AT279" i="2"/>
  <c r="AJ279" i="2"/>
  <c r="D279" i="2"/>
  <c r="AI279" i="2"/>
  <c r="AG279" i="2"/>
  <c r="AF279" i="2"/>
  <c r="E279" i="2"/>
  <c r="AT278" i="2"/>
  <c r="AJ278" i="2"/>
  <c r="D278" i="2"/>
  <c r="AI278" i="2"/>
  <c r="AG278" i="2"/>
  <c r="AF278" i="2"/>
  <c r="E278" i="2"/>
  <c r="AT277" i="2"/>
  <c r="AJ277" i="2"/>
  <c r="D277" i="2"/>
  <c r="AI277" i="2"/>
  <c r="AG277" i="2"/>
  <c r="AF277" i="2"/>
  <c r="E277" i="2"/>
  <c r="AT276" i="2"/>
  <c r="AJ276" i="2"/>
  <c r="D276" i="2"/>
  <c r="AI276" i="2"/>
  <c r="AG276" i="2"/>
  <c r="AF276" i="2"/>
  <c r="E276" i="2"/>
  <c r="AT275" i="2"/>
  <c r="AJ275" i="2"/>
  <c r="D275" i="2"/>
  <c r="AI275" i="2"/>
  <c r="AG275" i="2"/>
  <c r="AF275" i="2"/>
  <c r="E275" i="2"/>
  <c r="AT274" i="2"/>
  <c r="AJ274" i="2"/>
  <c r="D274" i="2"/>
  <c r="AI274" i="2"/>
  <c r="AG274" i="2"/>
  <c r="AF274" i="2"/>
  <c r="E274" i="2"/>
  <c r="AT273" i="2"/>
  <c r="AJ273" i="2"/>
  <c r="D273" i="2"/>
  <c r="AI273" i="2"/>
  <c r="AG273" i="2"/>
  <c r="AF273" i="2"/>
  <c r="E273" i="2"/>
  <c r="AT272" i="2"/>
  <c r="AJ272" i="2"/>
  <c r="D272" i="2"/>
  <c r="AI272" i="2"/>
  <c r="AG272" i="2"/>
  <c r="AF272" i="2"/>
  <c r="E272" i="2"/>
  <c r="AT271" i="2"/>
  <c r="AJ271" i="2"/>
  <c r="D271" i="2"/>
  <c r="AI271" i="2"/>
  <c r="AG271" i="2"/>
  <c r="AF271" i="2"/>
  <c r="E271" i="2"/>
  <c r="AT270" i="2"/>
  <c r="AJ270" i="2"/>
  <c r="D270" i="2"/>
  <c r="AI270" i="2"/>
  <c r="AG270" i="2"/>
  <c r="AF270" i="2"/>
  <c r="E270" i="2"/>
  <c r="AT269" i="2"/>
  <c r="AJ269" i="2"/>
  <c r="D269" i="2"/>
  <c r="AI269" i="2"/>
  <c r="AG269" i="2"/>
  <c r="AF269" i="2"/>
  <c r="E269" i="2"/>
  <c r="AT268" i="2"/>
  <c r="AJ268" i="2"/>
  <c r="D268" i="2"/>
  <c r="AI268" i="2"/>
  <c r="AG268" i="2"/>
  <c r="AF268" i="2"/>
  <c r="E268" i="2"/>
  <c r="AT267" i="2"/>
  <c r="AJ267" i="2"/>
  <c r="D267" i="2"/>
  <c r="AI267" i="2"/>
  <c r="AG267" i="2"/>
  <c r="AF267" i="2"/>
  <c r="E267" i="2"/>
  <c r="AT266" i="2"/>
  <c r="AJ266" i="2"/>
  <c r="D266" i="2"/>
  <c r="AI266" i="2"/>
  <c r="AG266" i="2"/>
  <c r="AF266" i="2"/>
  <c r="E266" i="2"/>
  <c r="AT265" i="2"/>
  <c r="AJ265" i="2"/>
  <c r="D265" i="2"/>
  <c r="AI265" i="2"/>
  <c r="AG265" i="2"/>
  <c r="AF265" i="2"/>
  <c r="E265" i="2"/>
  <c r="AT264" i="2"/>
  <c r="AJ264" i="2"/>
  <c r="D264" i="2"/>
  <c r="AI264" i="2"/>
  <c r="AG264" i="2"/>
  <c r="AF264" i="2"/>
  <c r="E264" i="2"/>
  <c r="AT263" i="2"/>
  <c r="AJ263" i="2"/>
  <c r="D263" i="2"/>
  <c r="AI263" i="2"/>
  <c r="AG263" i="2"/>
  <c r="AF263" i="2"/>
  <c r="E263" i="2"/>
  <c r="AT262" i="2"/>
  <c r="AJ262" i="2"/>
  <c r="D262" i="2"/>
  <c r="AI262" i="2"/>
  <c r="AG262" i="2"/>
  <c r="AF262" i="2"/>
  <c r="E262" i="2"/>
  <c r="AT261" i="2"/>
  <c r="AJ261" i="2"/>
  <c r="D261" i="2"/>
  <c r="AI261" i="2"/>
  <c r="AG261" i="2"/>
  <c r="AF261" i="2"/>
  <c r="E261" i="2"/>
  <c r="AT260" i="2"/>
  <c r="AJ260" i="2"/>
  <c r="D260" i="2"/>
  <c r="AI260" i="2"/>
  <c r="AG260" i="2"/>
  <c r="AF260" i="2"/>
  <c r="E260" i="2"/>
  <c r="AT259" i="2"/>
  <c r="AJ259" i="2"/>
  <c r="D259" i="2"/>
  <c r="AI259" i="2"/>
  <c r="AG259" i="2"/>
  <c r="AF259" i="2"/>
  <c r="E259" i="2"/>
  <c r="AT258" i="2"/>
  <c r="AJ258" i="2"/>
  <c r="D258" i="2"/>
  <c r="AI258" i="2"/>
  <c r="AG258" i="2"/>
  <c r="AF258" i="2"/>
  <c r="E258" i="2"/>
  <c r="AT257" i="2"/>
  <c r="AJ257" i="2"/>
  <c r="D257" i="2"/>
  <c r="AI257" i="2"/>
  <c r="AG257" i="2"/>
  <c r="AF257" i="2"/>
  <c r="E257" i="2"/>
  <c r="AT256" i="2"/>
  <c r="AJ256" i="2"/>
  <c r="D256" i="2"/>
  <c r="AI256" i="2"/>
  <c r="AG256" i="2"/>
  <c r="AF256" i="2"/>
  <c r="E256" i="2"/>
  <c r="AT255" i="2"/>
  <c r="AJ255" i="2"/>
  <c r="D255" i="2"/>
  <c r="AI255" i="2"/>
  <c r="AG255" i="2"/>
  <c r="AF255" i="2"/>
  <c r="E255" i="2"/>
  <c r="AT254" i="2"/>
  <c r="AJ254" i="2"/>
  <c r="D254" i="2"/>
  <c r="AI254" i="2"/>
  <c r="AG254" i="2"/>
  <c r="AF254" i="2"/>
  <c r="E254" i="2"/>
  <c r="AT253" i="2"/>
  <c r="AJ253" i="2"/>
  <c r="D253" i="2"/>
  <c r="AI253" i="2"/>
  <c r="AG253" i="2"/>
  <c r="AF253" i="2"/>
  <c r="E253" i="2"/>
  <c r="AT252" i="2"/>
  <c r="AJ252" i="2"/>
  <c r="D252" i="2"/>
  <c r="AI252" i="2"/>
  <c r="AG252" i="2"/>
  <c r="AF252" i="2"/>
  <c r="E252" i="2"/>
  <c r="AT251" i="2"/>
  <c r="AJ251" i="2"/>
  <c r="D251" i="2"/>
  <c r="AI251" i="2"/>
  <c r="AG251" i="2"/>
  <c r="AF251" i="2"/>
  <c r="E251" i="2"/>
  <c r="AT250" i="2"/>
  <c r="AJ250" i="2"/>
  <c r="D250" i="2"/>
  <c r="AI250" i="2"/>
  <c r="AG250" i="2"/>
  <c r="AF250" i="2"/>
  <c r="E250" i="2"/>
  <c r="AT249" i="2"/>
  <c r="AJ249" i="2"/>
  <c r="D249" i="2"/>
  <c r="AI249" i="2"/>
  <c r="AG249" i="2"/>
  <c r="AF249" i="2"/>
  <c r="E249" i="2"/>
  <c r="AT248" i="2"/>
  <c r="AJ248" i="2"/>
  <c r="D248" i="2"/>
  <c r="AI248" i="2"/>
  <c r="AG248" i="2"/>
  <c r="AF248" i="2"/>
  <c r="E248" i="2"/>
  <c r="AT247" i="2"/>
  <c r="AJ247" i="2"/>
  <c r="D247" i="2"/>
  <c r="AI247" i="2"/>
  <c r="AG247" i="2"/>
  <c r="AF247" i="2"/>
  <c r="E247" i="2"/>
  <c r="AT246" i="2"/>
  <c r="AJ246" i="2"/>
  <c r="D246" i="2"/>
  <c r="AI246" i="2"/>
  <c r="AG246" i="2"/>
  <c r="AF246" i="2"/>
  <c r="E246" i="2"/>
  <c r="AT245" i="2"/>
  <c r="AJ245" i="2"/>
  <c r="D245" i="2"/>
  <c r="AI245" i="2"/>
  <c r="AG245" i="2"/>
  <c r="AF245" i="2"/>
  <c r="E245" i="2"/>
  <c r="AT244" i="2"/>
  <c r="AJ244" i="2"/>
  <c r="D244" i="2"/>
  <c r="AI244" i="2"/>
  <c r="AG244" i="2"/>
  <c r="AF244" i="2"/>
  <c r="E244" i="2"/>
  <c r="AT243" i="2"/>
  <c r="AJ243" i="2"/>
  <c r="D243" i="2"/>
  <c r="AI243" i="2"/>
  <c r="AG243" i="2"/>
  <c r="AF243" i="2"/>
  <c r="E243" i="2"/>
  <c r="AT242" i="2"/>
  <c r="AJ242" i="2"/>
  <c r="D242" i="2"/>
  <c r="AI242" i="2"/>
  <c r="AG242" i="2"/>
  <c r="AF242" i="2"/>
  <c r="E242" i="2"/>
  <c r="AT241" i="2"/>
  <c r="AJ241" i="2"/>
  <c r="D241" i="2"/>
  <c r="AI241" i="2"/>
  <c r="AG241" i="2"/>
  <c r="AF241" i="2"/>
  <c r="E241" i="2"/>
  <c r="AT240" i="2"/>
  <c r="AJ240" i="2"/>
  <c r="D240" i="2"/>
  <c r="AI240" i="2"/>
  <c r="AG240" i="2"/>
  <c r="AF240" i="2"/>
  <c r="E240" i="2"/>
  <c r="AT239" i="2"/>
  <c r="AJ239" i="2"/>
  <c r="D239" i="2"/>
  <c r="AI239" i="2"/>
  <c r="AG239" i="2"/>
  <c r="AF239" i="2"/>
  <c r="E239" i="2"/>
  <c r="AT238" i="2"/>
  <c r="AJ238" i="2"/>
  <c r="D238" i="2"/>
  <c r="AI238" i="2"/>
  <c r="AG238" i="2"/>
  <c r="AF238" i="2"/>
  <c r="E238" i="2"/>
  <c r="AT237" i="2"/>
  <c r="AJ237" i="2"/>
  <c r="D237" i="2"/>
  <c r="AI237" i="2"/>
  <c r="AG237" i="2"/>
  <c r="AF237" i="2"/>
  <c r="E237" i="2"/>
  <c r="AT236" i="2"/>
  <c r="AJ236" i="2"/>
  <c r="D236" i="2"/>
  <c r="AI236" i="2"/>
  <c r="AG236" i="2"/>
  <c r="AF236" i="2"/>
  <c r="E236" i="2"/>
  <c r="AT235" i="2"/>
  <c r="AJ235" i="2"/>
  <c r="D235" i="2"/>
  <c r="AI235" i="2"/>
  <c r="AG235" i="2"/>
  <c r="AF235" i="2"/>
  <c r="E235" i="2"/>
  <c r="AT234" i="2"/>
  <c r="AJ234" i="2"/>
  <c r="D234" i="2"/>
  <c r="AI234" i="2"/>
  <c r="AG234" i="2"/>
  <c r="AF234" i="2"/>
  <c r="E234" i="2"/>
  <c r="AT233" i="2"/>
  <c r="AJ233" i="2"/>
  <c r="D233" i="2"/>
  <c r="AI233" i="2"/>
  <c r="AG233" i="2"/>
  <c r="AF233" i="2"/>
  <c r="E233" i="2"/>
  <c r="AT232" i="2"/>
  <c r="AJ232" i="2"/>
  <c r="D232" i="2"/>
  <c r="AI232" i="2"/>
  <c r="AG232" i="2"/>
  <c r="AF232" i="2"/>
  <c r="E232" i="2"/>
  <c r="AT231" i="2"/>
  <c r="AJ231" i="2"/>
  <c r="D231" i="2"/>
  <c r="AI231" i="2"/>
  <c r="AG231" i="2"/>
  <c r="AF231" i="2"/>
  <c r="E231" i="2"/>
  <c r="AT230" i="2"/>
  <c r="AJ230" i="2"/>
  <c r="D230" i="2"/>
  <c r="AI230" i="2"/>
  <c r="AG230" i="2"/>
  <c r="AF230" i="2"/>
  <c r="E230" i="2"/>
  <c r="AT229" i="2"/>
  <c r="AJ229" i="2"/>
  <c r="D229" i="2"/>
  <c r="AI229" i="2"/>
  <c r="AG229" i="2"/>
  <c r="AF229" i="2"/>
  <c r="E229" i="2"/>
  <c r="AT228" i="2"/>
  <c r="AJ228" i="2"/>
  <c r="D228" i="2"/>
  <c r="AI228" i="2"/>
  <c r="AG228" i="2"/>
  <c r="AF228" i="2"/>
  <c r="E228" i="2"/>
  <c r="AT227" i="2"/>
  <c r="AJ227" i="2"/>
  <c r="D227" i="2"/>
  <c r="AI227" i="2"/>
  <c r="AG227" i="2"/>
  <c r="AF227" i="2"/>
  <c r="E227" i="2"/>
  <c r="AT226" i="2"/>
  <c r="AJ226" i="2"/>
  <c r="D226" i="2"/>
  <c r="AI226" i="2"/>
  <c r="AG226" i="2"/>
  <c r="AF226" i="2"/>
  <c r="E226" i="2"/>
  <c r="AT225" i="2"/>
  <c r="AJ225" i="2"/>
  <c r="D225" i="2"/>
  <c r="AI225" i="2"/>
  <c r="AG225" i="2"/>
  <c r="AF225" i="2"/>
  <c r="E225" i="2"/>
  <c r="AT224" i="2"/>
  <c r="AJ224" i="2"/>
  <c r="D224" i="2"/>
  <c r="AI224" i="2"/>
  <c r="AG224" i="2"/>
  <c r="AF224" i="2"/>
  <c r="E224" i="2"/>
  <c r="AT223" i="2"/>
  <c r="AJ223" i="2"/>
  <c r="D223" i="2"/>
  <c r="AI223" i="2"/>
  <c r="AG223" i="2"/>
  <c r="AF223" i="2"/>
  <c r="E223" i="2"/>
  <c r="AT222" i="2"/>
  <c r="AJ222" i="2"/>
  <c r="D222" i="2"/>
  <c r="AI222" i="2"/>
  <c r="AG222" i="2"/>
  <c r="AF222" i="2"/>
  <c r="E222" i="2"/>
  <c r="AT221" i="2"/>
  <c r="AJ221" i="2"/>
  <c r="D221" i="2"/>
  <c r="AI221" i="2"/>
  <c r="AG221" i="2"/>
  <c r="AF221" i="2"/>
  <c r="E221" i="2"/>
  <c r="AT220" i="2"/>
  <c r="AJ220" i="2"/>
  <c r="D220" i="2"/>
  <c r="AI220" i="2"/>
  <c r="AG220" i="2"/>
  <c r="AF220" i="2"/>
  <c r="E220" i="2"/>
  <c r="AT219" i="2"/>
  <c r="AJ219" i="2"/>
  <c r="D219" i="2"/>
  <c r="AI219" i="2"/>
  <c r="AG219" i="2"/>
  <c r="AF219" i="2"/>
  <c r="E219" i="2"/>
  <c r="AT218" i="2"/>
  <c r="AJ218" i="2"/>
  <c r="D218" i="2"/>
  <c r="AI218" i="2"/>
  <c r="AG218" i="2"/>
  <c r="AF218" i="2"/>
  <c r="E218" i="2"/>
  <c r="AT217" i="2"/>
  <c r="AJ217" i="2"/>
  <c r="D217" i="2"/>
  <c r="AI217" i="2"/>
  <c r="AG217" i="2"/>
  <c r="AF217" i="2"/>
  <c r="E217" i="2"/>
  <c r="AT216" i="2"/>
  <c r="AJ216" i="2"/>
  <c r="D216" i="2"/>
  <c r="AI216" i="2"/>
  <c r="AG216" i="2"/>
  <c r="AF216" i="2"/>
  <c r="E216" i="2"/>
  <c r="AT215" i="2"/>
  <c r="AJ215" i="2"/>
  <c r="D215" i="2"/>
  <c r="AI215" i="2"/>
  <c r="AG215" i="2"/>
  <c r="AF215" i="2"/>
  <c r="E215" i="2"/>
  <c r="AT214" i="2"/>
  <c r="AJ214" i="2"/>
  <c r="D214" i="2"/>
  <c r="AI214" i="2"/>
  <c r="AG214" i="2"/>
  <c r="AF214" i="2"/>
  <c r="E214" i="2"/>
  <c r="AT213" i="2"/>
  <c r="AJ213" i="2"/>
  <c r="D213" i="2"/>
  <c r="AI213" i="2"/>
  <c r="AG213" i="2"/>
  <c r="AF213" i="2"/>
  <c r="E213" i="2"/>
  <c r="AT212" i="2"/>
  <c r="AJ212" i="2"/>
  <c r="D212" i="2"/>
  <c r="AI212" i="2"/>
  <c r="AG212" i="2"/>
  <c r="AF212" i="2"/>
  <c r="E212" i="2"/>
  <c r="AT211" i="2"/>
  <c r="AJ211" i="2"/>
  <c r="D211" i="2"/>
  <c r="AI211" i="2"/>
  <c r="AG211" i="2"/>
  <c r="AF211" i="2"/>
  <c r="E211" i="2"/>
  <c r="AT210" i="2"/>
  <c r="AJ210" i="2"/>
  <c r="D210" i="2"/>
  <c r="AI210" i="2"/>
  <c r="AG210" i="2"/>
  <c r="AF210" i="2"/>
  <c r="E210" i="2"/>
  <c r="AT209" i="2"/>
  <c r="AJ209" i="2"/>
  <c r="D209" i="2"/>
  <c r="AI209" i="2"/>
  <c r="AG209" i="2"/>
  <c r="AF209" i="2"/>
  <c r="E209" i="2"/>
  <c r="AT208" i="2"/>
  <c r="AJ208" i="2"/>
  <c r="D208" i="2"/>
  <c r="AI208" i="2"/>
  <c r="AG208" i="2"/>
  <c r="AF208" i="2"/>
  <c r="E208" i="2"/>
  <c r="AT207" i="2"/>
  <c r="AJ207" i="2"/>
  <c r="D207" i="2"/>
  <c r="AI207" i="2"/>
  <c r="AG207" i="2"/>
  <c r="AF207" i="2"/>
  <c r="E207" i="2"/>
  <c r="AT206" i="2"/>
  <c r="AJ206" i="2"/>
  <c r="D206" i="2"/>
  <c r="AI206" i="2"/>
  <c r="AG206" i="2"/>
  <c r="AF206" i="2"/>
  <c r="E206" i="2"/>
  <c r="AT205" i="2"/>
  <c r="AJ205" i="2"/>
  <c r="D205" i="2"/>
  <c r="AI205" i="2"/>
  <c r="AG205" i="2"/>
  <c r="AF205" i="2"/>
  <c r="E205" i="2"/>
  <c r="AT204" i="2"/>
  <c r="AJ204" i="2"/>
  <c r="D204" i="2"/>
  <c r="AI204" i="2"/>
  <c r="AG204" i="2"/>
  <c r="AF204" i="2"/>
  <c r="E204" i="2"/>
  <c r="AT203" i="2"/>
  <c r="AJ203" i="2"/>
  <c r="D203" i="2"/>
  <c r="AI203" i="2"/>
  <c r="AG203" i="2"/>
  <c r="AF203" i="2"/>
  <c r="E203" i="2"/>
  <c r="AT202" i="2"/>
  <c r="AJ202" i="2"/>
  <c r="D202" i="2"/>
  <c r="AI202" i="2"/>
  <c r="AG202" i="2"/>
  <c r="AF202" i="2"/>
  <c r="E202" i="2"/>
  <c r="AT201" i="2"/>
  <c r="AJ201" i="2"/>
  <c r="D201" i="2"/>
  <c r="AI201" i="2"/>
  <c r="AG201" i="2"/>
  <c r="AF201" i="2"/>
  <c r="E201" i="2"/>
  <c r="AT200" i="2"/>
  <c r="AJ200" i="2"/>
  <c r="D200" i="2"/>
  <c r="AI200" i="2"/>
  <c r="AG200" i="2"/>
  <c r="AF200" i="2"/>
  <c r="E200" i="2"/>
  <c r="AT199" i="2"/>
  <c r="AJ199" i="2"/>
  <c r="D199" i="2"/>
  <c r="AI199" i="2"/>
  <c r="AG199" i="2"/>
  <c r="AF199" i="2"/>
  <c r="E199" i="2"/>
  <c r="AT198" i="2"/>
  <c r="AJ198" i="2"/>
  <c r="D198" i="2"/>
  <c r="AI198" i="2"/>
  <c r="AG198" i="2"/>
  <c r="AF198" i="2"/>
  <c r="E198" i="2"/>
  <c r="AT197" i="2"/>
  <c r="AJ197" i="2"/>
  <c r="D197" i="2"/>
  <c r="AI197" i="2"/>
  <c r="AG197" i="2"/>
  <c r="AF197" i="2"/>
  <c r="E197" i="2"/>
  <c r="AT196" i="2"/>
  <c r="AJ196" i="2"/>
  <c r="D196" i="2"/>
  <c r="AI196" i="2"/>
  <c r="AG196" i="2"/>
  <c r="AF196" i="2"/>
  <c r="E196" i="2"/>
  <c r="AT195" i="2"/>
  <c r="AJ195" i="2"/>
  <c r="D195" i="2"/>
  <c r="AI195" i="2"/>
  <c r="AG195" i="2"/>
  <c r="AF195" i="2"/>
  <c r="E195" i="2"/>
  <c r="AT194" i="2"/>
  <c r="AJ194" i="2"/>
  <c r="D194" i="2"/>
  <c r="AI194" i="2"/>
  <c r="AG194" i="2"/>
  <c r="AF194" i="2"/>
  <c r="E194" i="2"/>
  <c r="AT193" i="2"/>
  <c r="AJ193" i="2"/>
  <c r="D193" i="2"/>
  <c r="AI193" i="2"/>
  <c r="AG193" i="2"/>
  <c r="AF193" i="2"/>
  <c r="E193" i="2"/>
  <c r="AT192" i="2"/>
  <c r="AJ192" i="2"/>
  <c r="D192" i="2"/>
  <c r="AI192" i="2"/>
  <c r="AG192" i="2"/>
  <c r="AF192" i="2"/>
  <c r="E192" i="2"/>
  <c r="AT191" i="2"/>
  <c r="AJ191" i="2"/>
  <c r="D191" i="2"/>
  <c r="AI191" i="2"/>
  <c r="AG191" i="2"/>
  <c r="AF191" i="2"/>
  <c r="E191" i="2"/>
  <c r="AT190" i="2"/>
  <c r="AJ190" i="2"/>
  <c r="D190" i="2"/>
  <c r="AI190" i="2"/>
  <c r="AG190" i="2"/>
  <c r="AF190" i="2"/>
  <c r="E190" i="2"/>
  <c r="AT189" i="2"/>
  <c r="AJ189" i="2"/>
  <c r="D189" i="2"/>
  <c r="AI189" i="2"/>
  <c r="AG189" i="2"/>
  <c r="AF189" i="2"/>
  <c r="E189" i="2"/>
  <c r="AT188" i="2"/>
  <c r="AJ188" i="2"/>
  <c r="D188" i="2"/>
  <c r="AI188" i="2"/>
  <c r="AG188" i="2"/>
  <c r="AF188" i="2"/>
  <c r="E188" i="2"/>
  <c r="AT187" i="2"/>
  <c r="AJ187" i="2"/>
  <c r="D187" i="2"/>
  <c r="AI187" i="2"/>
  <c r="AG187" i="2"/>
  <c r="AF187" i="2"/>
  <c r="E187" i="2"/>
  <c r="AT186" i="2"/>
  <c r="AJ186" i="2"/>
  <c r="D186" i="2"/>
  <c r="AI186" i="2"/>
  <c r="AG186" i="2"/>
  <c r="AF186" i="2"/>
  <c r="E186" i="2"/>
  <c r="AT185" i="2"/>
  <c r="AJ185" i="2"/>
  <c r="D185" i="2"/>
  <c r="AI185" i="2"/>
  <c r="AG185" i="2"/>
  <c r="AF185" i="2"/>
  <c r="E185" i="2"/>
  <c r="AT184" i="2"/>
  <c r="AJ184" i="2"/>
  <c r="D184" i="2"/>
  <c r="AI184" i="2"/>
  <c r="AG184" i="2"/>
  <c r="AF184" i="2"/>
  <c r="E184" i="2"/>
  <c r="AT183" i="2"/>
  <c r="AJ183" i="2"/>
  <c r="D183" i="2"/>
  <c r="AI183" i="2"/>
  <c r="AG183" i="2"/>
  <c r="AF183" i="2"/>
  <c r="E183" i="2"/>
  <c r="AT182" i="2"/>
  <c r="AJ182" i="2"/>
  <c r="D182" i="2"/>
  <c r="AI182" i="2"/>
  <c r="AG182" i="2"/>
  <c r="AF182" i="2"/>
  <c r="E182" i="2"/>
  <c r="AT181" i="2"/>
  <c r="AJ181" i="2"/>
  <c r="D181" i="2"/>
  <c r="AI181" i="2"/>
  <c r="AG181" i="2"/>
  <c r="AF181" i="2"/>
  <c r="E181" i="2"/>
  <c r="AT180" i="2"/>
  <c r="AJ180" i="2"/>
  <c r="D180" i="2"/>
  <c r="AI180" i="2"/>
  <c r="AG180" i="2"/>
  <c r="AF180" i="2"/>
  <c r="E180" i="2"/>
  <c r="AT179" i="2"/>
  <c r="AJ179" i="2"/>
  <c r="D179" i="2"/>
  <c r="AI179" i="2"/>
  <c r="AG179" i="2"/>
  <c r="AF179" i="2"/>
  <c r="E179" i="2"/>
  <c r="AT178" i="2"/>
  <c r="AJ178" i="2"/>
  <c r="D178" i="2"/>
  <c r="AI178" i="2"/>
  <c r="AG178" i="2"/>
  <c r="AF178" i="2"/>
  <c r="E178" i="2"/>
  <c r="AT177" i="2"/>
  <c r="AJ177" i="2"/>
  <c r="D177" i="2"/>
  <c r="AI177" i="2"/>
  <c r="AG177" i="2"/>
  <c r="AF177" i="2"/>
  <c r="E177" i="2"/>
  <c r="AT176" i="2"/>
  <c r="AJ176" i="2"/>
  <c r="D176" i="2"/>
  <c r="AI176" i="2"/>
  <c r="AG176" i="2"/>
  <c r="AF176" i="2"/>
  <c r="E176" i="2"/>
  <c r="AT175" i="2"/>
  <c r="AJ175" i="2"/>
  <c r="D175" i="2"/>
  <c r="AI175" i="2"/>
  <c r="AG175" i="2"/>
  <c r="AF175" i="2"/>
  <c r="E175" i="2"/>
  <c r="AT174" i="2"/>
  <c r="AJ174" i="2"/>
  <c r="D174" i="2"/>
  <c r="AI174" i="2"/>
  <c r="AG174" i="2"/>
  <c r="AF174" i="2"/>
  <c r="E174" i="2"/>
  <c r="AT173" i="2"/>
  <c r="AJ173" i="2"/>
  <c r="D173" i="2"/>
  <c r="AI173" i="2"/>
  <c r="AG173" i="2"/>
  <c r="AF173" i="2"/>
  <c r="E173" i="2"/>
  <c r="AT172" i="2"/>
  <c r="AJ172" i="2"/>
  <c r="D172" i="2"/>
  <c r="AI172" i="2"/>
  <c r="AG172" i="2"/>
  <c r="AF172" i="2"/>
  <c r="E172" i="2"/>
  <c r="AT171" i="2"/>
  <c r="AJ171" i="2"/>
  <c r="D171" i="2"/>
  <c r="AI171" i="2"/>
  <c r="AG171" i="2"/>
  <c r="AF171" i="2"/>
  <c r="E171" i="2"/>
  <c r="AT170" i="2"/>
  <c r="AJ170" i="2"/>
  <c r="D170" i="2"/>
  <c r="AI170" i="2"/>
  <c r="AG170" i="2"/>
  <c r="AF170" i="2"/>
  <c r="E170" i="2"/>
  <c r="AT169" i="2"/>
  <c r="AJ169" i="2"/>
  <c r="D169" i="2"/>
  <c r="AI169" i="2"/>
  <c r="AG169" i="2"/>
  <c r="AF169" i="2"/>
  <c r="E169" i="2"/>
  <c r="AT168" i="2"/>
  <c r="AJ168" i="2"/>
  <c r="D168" i="2"/>
  <c r="AI168" i="2"/>
  <c r="AG168" i="2"/>
  <c r="AF168" i="2"/>
  <c r="E168" i="2"/>
  <c r="AT167" i="2"/>
  <c r="AJ167" i="2"/>
  <c r="D167" i="2"/>
  <c r="AI167" i="2"/>
  <c r="AG167" i="2"/>
  <c r="AF167" i="2"/>
  <c r="E167" i="2"/>
  <c r="AT166" i="2"/>
  <c r="AJ166" i="2"/>
  <c r="D166" i="2"/>
  <c r="AI166" i="2"/>
  <c r="AG166" i="2"/>
  <c r="AF166" i="2"/>
  <c r="E166" i="2"/>
  <c r="AT165" i="2"/>
  <c r="AJ165" i="2"/>
  <c r="D165" i="2"/>
  <c r="AI165" i="2"/>
  <c r="AG165" i="2"/>
  <c r="AF165" i="2"/>
  <c r="E165" i="2"/>
  <c r="AT164" i="2"/>
  <c r="AJ164" i="2"/>
  <c r="D164" i="2"/>
  <c r="AI164" i="2"/>
  <c r="AG164" i="2"/>
  <c r="AF164" i="2"/>
  <c r="E164" i="2"/>
  <c r="AT163" i="2"/>
  <c r="AJ163" i="2"/>
  <c r="D163" i="2"/>
  <c r="AI163" i="2"/>
  <c r="AG163" i="2"/>
  <c r="AF163" i="2"/>
  <c r="E163" i="2"/>
  <c r="AT162" i="2"/>
  <c r="AJ162" i="2"/>
  <c r="D162" i="2"/>
  <c r="AI162" i="2"/>
  <c r="AG162" i="2"/>
  <c r="AF162" i="2"/>
  <c r="E162" i="2"/>
  <c r="AT161" i="2"/>
  <c r="AJ161" i="2"/>
  <c r="D161" i="2"/>
  <c r="AI161" i="2"/>
  <c r="AG161" i="2"/>
  <c r="AF161" i="2"/>
  <c r="E161" i="2"/>
  <c r="AT160" i="2"/>
  <c r="AJ160" i="2"/>
  <c r="D160" i="2"/>
  <c r="AI160" i="2"/>
  <c r="AG160" i="2"/>
  <c r="AF160" i="2"/>
  <c r="E160" i="2"/>
  <c r="AT159" i="2"/>
  <c r="AJ159" i="2"/>
  <c r="D159" i="2"/>
  <c r="AI159" i="2"/>
  <c r="AG159" i="2"/>
  <c r="AF159" i="2"/>
  <c r="E159" i="2"/>
  <c r="AT158" i="2"/>
  <c r="AJ158" i="2"/>
  <c r="D158" i="2"/>
  <c r="AI158" i="2"/>
  <c r="AG158" i="2"/>
  <c r="AF158" i="2"/>
  <c r="E158" i="2"/>
  <c r="AT157" i="2"/>
  <c r="AJ157" i="2"/>
  <c r="D157" i="2"/>
  <c r="AI157" i="2"/>
  <c r="AG157" i="2"/>
  <c r="AF157" i="2"/>
  <c r="E157" i="2"/>
  <c r="AT156" i="2"/>
  <c r="AJ156" i="2"/>
  <c r="D156" i="2"/>
  <c r="AI156" i="2"/>
  <c r="AG156" i="2"/>
  <c r="AF156" i="2"/>
  <c r="E156" i="2"/>
  <c r="AT155" i="2"/>
  <c r="AJ155" i="2"/>
  <c r="D155" i="2"/>
  <c r="AI155" i="2"/>
  <c r="AG155" i="2"/>
  <c r="AF155" i="2"/>
  <c r="E155" i="2"/>
  <c r="AT154" i="2"/>
  <c r="AJ154" i="2"/>
  <c r="D154" i="2"/>
  <c r="AI154" i="2"/>
  <c r="AG154" i="2"/>
  <c r="AF154" i="2"/>
  <c r="E154" i="2"/>
  <c r="AT153" i="2"/>
  <c r="AJ153" i="2"/>
  <c r="D153" i="2"/>
  <c r="AI153" i="2"/>
  <c r="AG153" i="2"/>
  <c r="AF153" i="2"/>
  <c r="E153" i="2"/>
  <c r="AT152" i="2"/>
  <c r="AJ152" i="2"/>
  <c r="D152" i="2"/>
  <c r="AI152" i="2"/>
  <c r="AG152" i="2"/>
  <c r="AF152" i="2"/>
  <c r="E152" i="2"/>
  <c r="AT151" i="2"/>
  <c r="AJ151" i="2"/>
  <c r="D151" i="2"/>
  <c r="AI151" i="2"/>
  <c r="AG151" i="2"/>
  <c r="AF151" i="2"/>
  <c r="E151" i="2"/>
  <c r="AT150" i="2"/>
  <c r="AJ150" i="2"/>
  <c r="D150" i="2"/>
  <c r="AI150" i="2"/>
  <c r="AG150" i="2"/>
  <c r="AF150" i="2"/>
  <c r="E150" i="2"/>
  <c r="AT149" i="2"/>
  <c r="AJ149" i="2"/>
  <c r="D149" i="2"/>
  <c r="AI149" i="2"/>
  <c r="AG149" i="2"/>
  <c r="AF149" i="2"/>
  <c r="E149" i="2"/>
  <c r="AT148" i="2"/>
  <c r="AJ148" i="2"/>
  <c r="D148" i="2"/>
  <c r="AI148" i="2"/>
  <c r="AG148" i="2"/>
  <c r="AF148" i="2"/>
  <c r="E148" i="2"/>
  <c r="AT147" i="2"/>
  <c r="AJ147" i="2"/>
  <c r="D147" i="2"/>
  <c r="AI147" i="2"/>
  <c r="AG147" i="2"/>
  <c r="AF147" i="2"/>
  <c r="E147" i="2"/>
  <c r="AT146" i="2"/>
  <c r="AJ146" i="2"/>
  <c r="D146" i="2"/>
  <c r="AI146" i="2"/>
  <c r="AG146" i="2"/>
  <c r="AF146" i="2"/>
  <c r="E146" i="2"/>
  <c r="AT145" i="2"/>
  <c r="AJ145" i="2"/>
  <c r="D145" i="2"/>
  <c r="AI145" i="2"/>
  <c r="AG145" i="2"/>
  <c r="AF145" i="2"/>
  <c r="E145" i="2"/>
  <c r="AT144" i="2"/>
  <c r="AJ144" i="2"/>
  <c r="D144" i="2"/>
  <c r="AI144" i="2"/>
  <c r="AG144" i="2"/>
  <c r="AF144" i="2"/>
  <c r="E144" i="2"/>
  <c r="AT143" i="2"/>
  <c r="AJ143" i="2"/>
  <c r="D143" i="2"/>
  <c r="AI143" i="2"/>
  <c r="AG143" i="2"/>
  <c r="AF143" i="2"/>
  <c r="E143" i="2"/>
  <c r="AT142" i="2"/>
  <c r="AJ142" i="2"/>
  <c r="D142" i="2"/>
  <c r="AI142" i="2"/>
  <c r="AG142" i="2"/>
  <c r="AF142" i="2"/>
  <c r="E142" i="2"/>
  <c r="AT141" i="2"/>
  <c r="AJ141" i="2"/>
  <c r="D141" i="2"/>
  <c r="AI141" i="2"/>
  <c r="AG141" i="2"/>
  <c r="AF141" i="2"/>
  <c r="E141" i="2"/>
  <c r="AT140" i="2"/>
  <c r="AJ140" i="2"/>
  <c r="D140" i="2"/>
  <c r="AI140" i="2"/>
  <c r="AG140" i="2"/>
  <c r="AF140" i="2"/>
  <c r="E140" i="2"/>
  <c r="AT139" i="2"/>
  <c r="AJ139" i="2"/>
  <c r="D139" i="2"/>
  <c r="AI139" i="2"/>
  <c r="AG139" i="2"/>
  <c r="AF139" i="2"/>
  <c r="E139" i="2"/>
  <c r="AT138" i="2"/>
  <c r="AJ138" i="2"/>
  <c r="D138" i="2"/>
  <c r="AI138" i="2"/>
  <c r="AG138" i="2"/>
  <c r="AF138" i="2"/>
  <c r="E138" i="2"/>
  <c r="AT137" i="2"/>
  <c r="AJ137" i="2"/>
  <c r="D137" i="2"/>
  <c r="AI137" i="2"/>
  <c r="AG137" i="2"/>
  <c r="AF137" i="2"/>
  <c r="E137" i="2"/>
  <c r="AT136" i="2"/>
  <c r="AJ136" i="2"/>
  <c r="D136" i="2"/>
  <c r="AI136" i="2"/>
  <c r="AG136" i="2"/>
  <c r="AF136" i="2"/>
  <c r="E136" i="2"/>
  <c r="AT135" i="2"/>
  <c r="AJ135" i="2"/>
  <c r="D135" i="2"/>
  <c r="AI135" i="2"/>
  <c r="AG135" i="2"/>
  <c r="AF135" i="2"/>
  <c r="E135" i="2"/>
  <c r="AT134" i="2"/>
  <c r="AJ134" i="2"/>
  <c r="D134" i="2"/>
  <c r="AI134" i="2"/>
  <c r="AG134" i="2"/>
  <c r="AF134" i="2"/>
  <c r="E134" i="2"/>
  <c r="AT133" i="2"/>
  <c r="AJ133" i="2"/>
  <c r="D133" i="2"/>
  <c r="AI133" i="2"/>
  <c r="AG133" i="2"/>
  <c r="AF133" i="2"/>
  <c r="E133" i="2"/>
  <c r="AT132" i="2"/>
  <c r="AJ132" i="2"/>
  <c r="D132" i="2"/>
  <c r="AI132" i="2"/>
  <c r="AG132" i="2"/>
  <c r="AF132" i="2"/>
  <c r="E132" i="2"/>
  <c r="AT131" i="2"/>
  <c r="AJ131" i="2"/>
  <c r="D131" i="2"/>
  <c r="AI131" i="2"/>
  <c r="AG131" i="2"/>
  <c r="AF131" i="2"/>
  <c r="E131" i="2"/>
  <c r="AT130" i="2"/>
  <c r="AJ130" i="2"/>
  <c r="D130" i="2"/>
  <c r="AI130" i="2"/>
  <c r="AG130" i="2"/>
  <c r="AF130" i="2"/>
  <c r="E130" i="2"/>
  <c r="AT129" i="2"/>
  <c r="AJ129" i="2"/>
  <c r="D129" i="2"/>
  <c r="AI129" i="2"/>
  <c r="AG129" i="2"/>
  <c r="AF129" i="2"/>
  <c r="E129" i="2"/>
  <c r="AT128" i="2"/>
  <c r="AJ128" i="2"/>
  <c r="D128" i="2"/>
  <c r="AI128" i="2"/>
  <c r="AG128" i="2"/>
  <c r="AF128" i="2"/>
  <c r="E128" i="2"/>
  <c r="AT127" i="2"/>
  <c r="AJ127" i="2"/>
  <c r="D127" i="2"/>
  <c r="AI127" i="2"/>
  <c r="AG127" i="2"/>
  <c r="AF127" i="2"/>
  <c r="E127" i="2"/>
  <c r="AT126" i="2"/>
  <c r="AJ126" i="2"/>
  <c r="D126" i="2"/>
  <c r="AI126" i="2"/>
  <c r="AG126" i="2"/>
  <c r="AF126" i="2"/>
  <c r="E126" i="2"/>
  <c r="AT125" i="2"/>
  <c r="AJ125" i="2"/>
  <c r="D125" i="2"/>
  <c r="AI125" i="2"/>
  <c r="AG125" i="2"/>
  <c r="AF125" i="2"/>
  <c r="E125" i="2"/>
  <c r="AT124" i="2"/>
  <c r="AJ124" i="2"/>
  <c r="D124" i="2"/>
  <c r="AI124" i="2"/>
  <c r="AG124" i="2"/>
  <c r="AF124" i="2"/>
  <c r="E124" i="2"/>
  <c r="AT123" i="2"/>
  <c r="AJ123" i="2"/>
  <c r="D123" i="2"/>
  <c r="AI123" i="2"/>
  <c r="AG123" i="2"/>
  <c r="AF123" i="2"/>
  <c r="E123" i="2"/>
  <c r="AT122" i="2"/>
  <c r="AJ122" i="2"/>
  <c r="D122" i="2"/>
  <c r="AI122" i="2"/>
  <c r="AG122" i="2"/>
  <c r="AF122" i="2"/>
  <c r="E122" i="2"/>
  <c r="AT121" i="2"/>
  <c r="AJ121" i="2"/>
  <c r="D121" i="2"/>
  <c r="AI121" i="2"/>
  <c r="AG121" i="2"/>
  <c r="AF121" i="2"/>
  <c r="E121" i="2"/>
  <c r="AT120" i="2"/>
  <c r="AJ120" i="2"/>
  <c r="D120" i="2"/>
  <c r="AI120" i="2"/>
  <c r="AG120" i="2"/>
  <c r="AF120" i="2"/>
  <c r="E120" i="2"/>
  <c r="AT119" i="2"/>
  <c r="AJ119" i="2"/>
  <c r="D119" i="2"/>
  <c r="AI119" i="2"/>
  <c r="AG119" i="2"/>
  <c r="AF119" i="2"/>
  <c r="E119" i="2"/>
  <c r="AT118" i="2"/>
  <c r="AJ118" i="2"/>
  <c r="D118" i="2"/>
  <c r="AI118" i="2"/>
  <c r="AG118" i="2"/>
  <c r="AF118" i="2"/>
  <c r="E118" i="2"/>
  <c r="AT117" i="2"/>
  <c r="AJ117" i="2"/>
  <c r="D117" i="2"/>
  <c r="AI117" i="2"/>
  <c r="AG117" i="2"/>
  <c r="AF117" i="2"/>
  <c r="E117" i="2"/>
  <c r="AT116" i="2"/>
  <c r="AJ116" i="2"/>
  <c r="D116" i="2"/>
  <c r="AI116" i="2"/>
  <c r="AG116" i="2"/>
  <c r="AF116" i="2"/>
  <c r="E116" i="2"/>
  <c r="AT115" i="2"/>
  <c r="AJ115" i="2"/>
  <c r="D115" i="2"/>
  <c r="AI115" i="2"/>
  <c r="AG115" i="2"/>
  <c r="AF115" i="2"/>
  <c r="E115" i="2"/>
  <c r="AT114" i="2"/>
  <c r="AJ114" i="2"/>
  <c r="D114" i="2"/>
  <c r="AI114" i="2"/>
  <c r="AG114" i="2"/>
  <c r="AF114" i="2"/>
  <c r="E114" i="2"/>
  <c r="AT113" i="2"/>
  <c r="AJ113" i="2"/>
  <c r="D113" i="2"/>
  <c r="AI113" i="2"/>
  <c r="AG113" i="2"/>
  <c r="AF113" i="2"/>
  <c r="E113" i="2"/>
  <c r="AT112" i="2"/>
  <c r="AJ112" i="2"/>
  <c r="D112" i="2"/>
  <c r="AI112" i="2"/>
  <c r="AG112" i="2"/>
  <c r="AF112" i="2"/>
  <c r="E112" i="2"/>
  <c r="AT111" i="2"/>
  <c r="AJ111" i="2"/>
  <c r="D111" i="2"/>
  <c r="AI111" i="2"/>
  <c r="AG111" i="2"/>
  <c r="AF111" i="2"/>
  <c r="E111" i="2"/>
  <c r="AT110" i="2"/>
  <c r="AJ110" i="2"/>
  <c r="D110" i="2"/>
  <c r="AI110" i="2"/>
  <c r="AG110" i="2"/>
  <c r="AF110" i="2"/>
  <c r="E110" i="2"/>
  <c r="AT109" i="2"/>
  <c r="AJ109" i="2"/>
  <c r="D109" i="2"/>
  <c r="AI109" i="2"/>
  <c r="AG109" i="2"/>
  <c r="AF109" i="2"/>
  <c r="E109" i="2"/>
  <c r="AT108" i="2"/>
  <c r="AJ108" i="2"/>
  <c r="D108" i="2"/>
  <c r="AI108" i="2"/>
  <c r="AG108" i="2"/>
  <c r="AF108" i="2"/>
  <c r="E108" i="2"/>
  <c r="AT107" i="2"/>
  <c r="AJ107" i="2"/>
  <c r="D107" i="2"/>
  <c r="AI107" i="2"/>
  <c r="AG107" i="2"/>
  <c r="AF107" i="2"/>
  <c r="E107" i="2"/>
  <c r="AT106" i="2"/>
  <c r="AJ106" i="2"/>
  <c r="D106" i="2"/>
  <c r="AI106" i="2"/>
  <c r="AG106" i="2"/>
  <c r="AF106" i="2"/>
  <c r="E106" i="2"/>
  <c r="AT105" i="2"/>
  <c r="AJ105" i="2"/>
  <c r="D105" i="2"/>
  <c r="AI105" i="2"/>
  <c r="AG105" i="2"/>
  <c r="AF105" i="2"/>
  <c r="E105" i="2"/>
  <c r="AT104" i="2"/>
  <c r="AJ104" i="2"/>
  <c r="D104" i="2"/>
  <c r="AI104" i="2"/>
  <c r="AG104" i="2"/>
  <c r="AF104" i="2"/>
  <c r="E104" i="2"/>
  <c r="AT103" i="2"/>
  <c r="AJ103" i="2"/>
  <c r="D103" i="2"/>
  <c r="AI103" i="2"/>
  <c r="AG103" i="2"/>
  <c r="AF103" i="2"/>
  <c r="E103" i="2"/>
  <c r="AT102" i="2"/>
  <c r="AJ102" i="2"/>
  <c r="D102" i="2"/>
  <c r="AI102" i="2"/>
  <c r="AG102" i="2"/>
  <c r="AF102" i="2"/>
  <c r="E102" i="2"/>
  <c r="AT101" i="2"/>
  <c r="AJ101" i="2"/>
  <c r="D101" i="2"/>
  <c r="AI101" i="2"/>
  <c r="AG101" i="2"/>
  <c r="AF101" i="2"/>
  <c r="E101" i="2"/>
  <c r="AT100" i="2"/>
  <c r="AJ100" i="2"/>
  <c r="D100" i="2"/>
  <c r="AI100" i="2"/>
  <c r="AG100" i="2"/>
  <c r="AF100" i="2"/>
  <c r="E100" i="2"/>
  <c r="AT99" i="2"/>
  <c r="AJ99" i="2"/>
  <c r="D99" i="2"/>
  <c r="AI99" i="2"/>
  <c r="AG99" i="2"/>
  <c r="AF99" i="2"/>
  <c r="E99" i="2"/>
  <c r="AT98" i="2"/>
  <c r="AJ98" i="2"/>
  <c r="D98" i="2"/>
  <c r="AI98" i="2"/>
  <c r="AG98" i="2"/>
  <c r="AF98" i="2"/>
  <c r="E98" i="2"/>
  <c r="AT97" i="2"/>
  <c r="AJ97" i="2"/>
  <c r="D97" i="2"/>
  <c r="AI97" i="2"/>
  <c r="AG97" i="2"/>
  <c r="AF97" i="2"/>
  <c r="E97" i="2"/>
  <c r="AT96" i="2"/>
  <c r="AJ96" i="2"/>
  <c r="D96" i="2"/>
  <c r="AI96" i="2"/>
  <c r="AG96" i="2"/>
  <c r="AF96" i="2"/>
  <c r="E96" i="2"/>
  <c r="AT95" i="2"/>
  <c r="AJ95" i="2"/>
  <c r="D95" i="2"/>
  <c r="AI95" i="2"/>
  <c r="AG95" i="2"/>
  <c r="AF95" i="2"/>
  <c r="E95" i="2"/>
  <c r="AT94" i="2"/>
  <c r="AJ94" i="2"/>
  <c r="D94" i="2"/>
  <c r="AI94" i="2"/>
  <c r="AG94" i="2"/>
  <c r="AF94" i="2"/>
  <c r="E94" i="2"/>
  <c r="AT93" i="2"/>
  <c r="AJ93" i="2"/>
  <c r="D93" i="2"/>
  <c r="AI93" i="2"/>
  <c r="AG93" i="2"/>
  <c r="AF93" i="2"/>
  <c r="E93" i="2"/>
  <c r="AT92" i="2"/>
  <c r="AJ92" i="2"/>
  <c r="D92" i="2"/>
  <c r="AI92" i="2"/>
  <c r="AG92" i="2"/>
  <c r="AF92" i="2"/>
  <c r="E92" i="2"/>
  <c r="AT91" i="2"/>
  <c r="AJ91" i="2"/>
  <c r="D91" i="2"/>
  <c r="AI91" i="2"/>
  <c r="AG91" i="2"/>
  <c r="AF91" i="2"/>
  <c r="E91" i="2"/>
  <c r="AT90" i="2"/>
  <c r="AJ90" i="2"/>
  <c r="D90" i="2"/>
  <c r="AI90" i="2"/>
  <c r="AG90" i="2"/>
  <c r="AF90" i="2"/>
  <c r="E90" i="2"/>
  <c r="AT89" i="2"/>
  <c r="AJ89" i="2"/>
  <c r="D89" i="2"/>
  <c r="AI89" i="2"/>
  <c r="AG89" i="2"/>
  <c r="AF89" i="2"/>
  <c r="E89" i="2"/>
  <c r="AT88" i="2"/>
  <c r="AJ88" i="2"/>
  <c r="D88" i="2"/>
  <c r="AI88" i="2"/>
  <c r="AG88" i="2"/>
  <c r="AF88" i="2"/>
  <c r="E88" i="2"/>
  <c r="AT87" i="2"/>
  <c r="AJ87" i="2"/>
  <c r="D87" i="2"/>
  <c r="AI87" i="2"/>
  <c r="AG87" i="2"/>
  <c r="AF87" i="2"/>
  <c r="E87" i="2"/>
  <c r="AT86" i="2"/>
  <c r="AJ86" i="2"/>
  <c r="D86" i="2"/>
  <c r="AI86" i="2"/>
  <c r="AG86" i="2"/>
  <c r="AF86" i="2"/>
  <c r="E86" i="2"/>
  <c r="AT85" i="2"/>
  <c r="AJ85" i="2"/>
  <c r="D85" i="2"/>
  <c r="AI85" i="2"/>
  <c r="AG85" i="2"/>
  <c r="AF85" i="2"/>
  <c r="E85" i="2"/>
  <c r="AT84" i="2"/>
  <c r="AJ84" i="2"/>
  <c r="D84" i="2"/>
  <c r="AI84" i="2"/>
  <c r="AG84" i="2"/>
  <c r="AF84" i="2"/>
  <c r="E84" i="2"/>
  <c r="AT83" i="2"/>
  <c r="AJ83" i="2"/>
  <c r="D83" i="2"/>
  <c r="AI83" i="2"/>
  <c r="AG83" i="2"/>
  <c r="AF83" i="2"/>
  <c r="E83" i="2"/>
  <c r="AT82" i="2"/>
  <c r="AJ82" i="2"/>
  <c r="D82" i="2"/>
  <c r="AI82" i="2"/>
  <c r="AG82" i="2"/>
  <c r="AF82" i="2"/>
  <c r="E82" i="2"/>
  <c r="AT81" i="2"/>
  <c r="AJ81" i="2"/>
  <c r="D81" i="2"/>
  <c r="AI81" i="2"/>
  <c r="AG81" i="2"/>
  <c r="AF81" i="2"/>
  <c r="E81" i="2"/>
  <c r="AT80" i="2"/>
  <c r="AJ80" i="2"/>
  <c r="D80" i="2"/>
  <c r="AI80" i="2"/>
  <c r="AG80" i="2"/>
  <c r="AF80" i="2"/>
  <c r="E80" i="2"/>
  <c r="AT79" i="2"/>
  <c r="AJ79" i="2"/>
  <c r="D79" i="2"/>
  <c r="AI79" i="2"/>
  <c r="AG79" i="2"/>
  <c r="AF79" i="2"/>
  <c r="E79" i="2"/>
  <c r="AT78" i="2"/>
  <c r="AJ78" i="2"/>
  <c r="D78" i="2"/>
  <c r="AI78" i="2"/>
  <c r="AG78" i="2"/>
  <c r="AF78" i="2"/>
  <c r="E78" i="2"/>
  <c r="AT77" i="2"/>
  <c r="AJ77" i="2"/>
  <c r="D77" i="2"/>
  <c r="AI77" i="2"/>
  <c r="AG77" i="2"/>
  <c r="AF77" i="2"/>
  <c r="E77" i="2"/>
  <c r="AT76" i="2"/>
  <c r="AJ76" i="2"/>
  <c r="D76" i="2"/>
  <c r="AI76" i="2"/>
  <c r="AG76" i="2"/>
  <c r="AF76" i="2"/>
  <c r="E76" i="2"/>
  <c r="AT75" i="2"/>
  <c r="AJ75" i="2"/>
  <c r="D75" i="2"/>
  <c r="AI75" i="2"/>
  <c r="AG75" i="2"/>
  <c r="AF75" i="2"/>
  <c r="E75" i="2"/>
  <c r="AT74" i="2"/>
  <c r="AJ74" i="2"/>
  <c r="D74" i="2"/>
  <c r="AI74" i="2"/>
  <c r="AG74" i="2"/>
  <c r="AF74" i="2"/>
  <c r="E74" i="2"/>
  <c r="AT73" i="2"/>
  <c r="AJ73" i="2"/>
  <c r="D73" i="2"/>
  <c r="AI73" i="2"/>
  <c r="AG73" i="2"/>
  <c r="AF73" i="2"/>
  <c r="E73" i="2"/>
  <c r="AT72" i="2"/>
  <c r="AJ72" i="2"/>
  <c r="D72" i="2"/>
  <c r="AI72" i="2"/>
  <c r="AG72" i="2"/>
  <c r="AF72" i="2"/>
  <c r="E72" i="2"/>
  <c r="AT71" i="2"/>
  <c r="AJ71" i="2"/>
  <c r="D71" i="2"/>
  <c r="AI71" i="2"/>
  <c r="AG71" i="2"/>
  <c r="AF71" i="2"/>
  <c r="E71" i="2"/>
  <c r="AT70" i="2"/>
  <c r="AJ70" i="2"/>
  <c r="D70" i="2"/>
  <c r="AI70" i="2"/>
  <c r="AG70" i="2"/>
  <c r="AF70" i="2"/>
  <c r="E70" i="2"/>
  <c r="AT69" i="2"/>
  <c r="AJ69" i="2"/>
  <c r="D69" i="2"/>
  <c r="AI69" i="2"/>
  <c r="AG69" i="2"/>
  <c r="AF69" i="2"/>
  <c r="E69" i="2"/>
  <c r="AT68" i="2"/>
  <c r="AJ68" i="2"/>
  <c r="D68" i="2"/>
  <c r="AI68" i="2"/>
  <c r="AG68" i="2"/>
  <c r="AF68" i="2"/>
  <c r="E68" i="2"/>
  <c r="AT67" i="2"/>
  <c r="AJ67" i="2"/>
  <c r="D67" i="2"/>
  <c r="AI67" i="2"/>
  <c r="AG67" i="2"/>
  <c r="AF67" i="2"/>
  <c r="E67" i="2"/>
  <c r="AT66" i="2"/>
  <c r="AJ66" i="2"/>
  <c r="D66" i="2"/>
  <c r="AI66" i="2"/>
  <c r="AG66" i="2"/>
  <c r="AF66" i="2"/>
  <c r="E66" i="2"/>
  <c r="AT65" i="2"/>
  <c r="AJ65" i="2"/>
  <c r="D65" i="2"/>
  <c r="AI65" i="2"/>
  <c r="AG65" i="2"/>
  <c r="AF65" i="2"/>
  <c r="E65" i="2"/>
  <c r="AJ64" i="2"/>
  <c r="D64" i="2"/>
  <c r="AI64" i="2"/>
  <c r="AG64" i="2"/>
  <c r="AF64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D138" i="5"/>
  <c r="AT12" i="2"/>
  <c r="H81" i="5"/>
  <c r="N112" i="5"/>
  <c r="M95" i="5"/>
  <c r="M96" i="5"/>
  <c r="M97" i="5"/>
  <c r="M98" i="5"/>
  <c r="L95" i="5"/>
  <c r="L96" i="5"/>
  <c r="L97" i="5"/>
  <c r="L98" i="5"/>
  <c r="L99" i="5"/>
  <c r="H117" i="5"/>
  <c r="AJ17" i="2"/>
  <c r="AJ16" i="2"/>
  <c r="AJ14" i="2"/>
  <c r="AJ13" i="2"/>
  <c r="AG17" i="2"/>
  <c r="AG16" i="2"/>
  <c r="AG13" i="2"/>
  <c r="AG14" i="2"/>
  <c r="G71" i="5"/>
  <c r="E123" i="5"/>
  <c r="D17" i="2"/>
  <c r="AF17" i="2"/>
  <c r="D16" i="2"/>
  <c r="AF16" i="2"/>
  <c r="D15" i="2"/>
  <c r="AF15" i="2"/>
  <c r="D14" i="2"/>
  <c r="AF14" i="2"/>
  <c r="D13" i="2"/>
  <c r="AF13" i="2"/>
  <c r="AI13" i="2"/>
  <c r="AI14" i="2"/>
  <c r="AI15" i="2"/>
  <c r="AI16" i="2"/>
  <c r="AI17" i="2"/>
  <c r="H82" i="5"/>
  <c r="H119" i="5"/>
  <c r="I107" i="5"/>
  <c r="I106" i="5"/>
  <c r="I105" i="5"/>
  <c r="H46" i="5"/>
  <c r="H42" i="5"/>
  <c r="H38" i="5"/>
  <c r="E23" i="2"/>
  <c r="E22" i="2"/>
  <c r="E21" i="2"/>
  <c r="E20" i="2"/>
  <c r="E19" i="2"/>
  <c r="E18" i="2"/>
  <c r="E17" i="2"/>
  <c r="E16" i="2"/>
  <c r="E15" i="2"/>
  <c r="E14" i="2"/>
  <c r="C29" i="1"/>
  <c r="E36" i="5"/>
  <c r="H100" i="5"/>
  <c r="H99" i="5"/>
  <c r="H98" i="5"/>
  <c r="H97" i="5"/>
  <c r="H96" i="5"/>
  <c r="H95" i="5"/>
  <c r="I100" i="5"/>
  <c r="J100" i="5"/>
  <c r="J99" i="5"/>
  <c r="J98" i="5"/>
  <c r="J97" i="5"/>
  <c r="J96" i="5"/>
  <c r="J95" i="5"/>
  <c r="E101" i="5"/>
  <c r="E61" i="5"/>
  <c r="I131" i="5"/>
  <c r="D149" i="5"/>
  <c r="D148" i="5"/>
  <c r="D147" i="5"/>
  <c r="D146" i="5"/>
  <c r="D145" i="5"/>
  <c r="D144" i="5"/>
  <c r="D140" i="5"/>
  <c r="D139" i="5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E42" i="6"/>
  <c r="E84" i="5"/>
  <c r="E83" i="5"/>
  <c r="F39" i="5"/>
  <c r="AY11" i="2"/>
  <c r="E120" i="5"/>
  <c r="E121" i="5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112" i="2"/>
  <c r="BC113" i="2"/>
  <c r="BC114" i="2"/>
  <c r="BC115" i="2"/>
  <c r="BC116" i="2"/>
  <c r="BC117" i="2"/>
  <c r="BC118" i="2"/>
  <c r="BC119" i="2"/>
  <c r="BC120" i="2"/>
  <c r="BC121" i="2"/>
  <c r="BC122" i="2"/>
  <c r="BC123" i="2"/>
  <c r="BC124" i="2"/>
  <c r="BC125" i="2"/>
  <c r="BC126" i="2"/>
  <c r="BC127" i="2"/>
  <c r="BC128" i="2"/>
  <c r="BC129" i="2"/>
  <c r="BC130" i="2"/>
  <c r="BC131" i="2"/>
  <c r="BC132" i="2"/>
  <c r="BC133" i="2"/>
  <c r="BC134" i="2"/>
  <c r="BC135" i="2"/>
  <c r="BC136" i="2"/>
  <c r="BC137" i="2"/>
  <c r="BC138" i="2"/>
  <c r="BC139" i="2"/>
  <c r="BC140" i="2"/>
  <c r="BC141" i="2"/>
  <c r="BC142" i="2"/>
  <c r="BC143" i="2"/>
  <c r="BC144" i="2"/>
  <c r="BC145" i="2"/>
  <c r="BC146" i="2"/>
  <c r="BC147" i="2"/>
  <c r="BC148" i="2"/>
  <c r="BC149" i="2"/>
  <c r="BC150" i="2"/>
  <c r="BC151" i="2"/>
  <c r="BC152" i="2"/>
  <c r="BC153" i="2"/>
  <c r="BC154" i="2"/>
  <c r="BC155" i="2"/>
  <c r="BC156" i="2"/>
  <c r="BC157" i="2"/>
  <c r="BC158" i="2"/>
  <c r="BC159" i="2"/>
  <c r="BC160" i="2"/>
  <c r="BC161" i="2"/>
  <c r="BC162" i="2"/>
  <c r="BC163" i="2"/>
  <c r="BC164" i="2"/>
  <c r="BC165" i="2"/>
  <c r="BC166" i="2"/>
  <c r="BC167" i="2"/>
  <c r="BC168" i="2"/>
  <c r="BC169" i="2"/>
  <c r="BC170" i="2"/>
  <c r="BC171" i="2"/>
  <c r="BC172" i="2"/>
  <c r="BC173" i="2"/>
  <c r="BC174" i="2"/>
  <c r="BC175" i="2"/>
  <c r="BC176" i="2"/>
  <c r="BC177" i="2"/>
  <c r="BC178" i="2"/>
  <c r="BC179" i="2"/>
  <c r="BC180" i="2"/>
  <c r="BC181" i="2"/>
  <c r="BC182" i="2"/>
  <c r="BC183" i="2"/>
  <c r="BC184" i="2"/>
  <c r="BC185" i="2"/>
  <c r="BC186" i="2"/>
  <c r="BC187" i="2"/>
  <c r="BC188" i="2"/>
  <c r="BC189" i="2"/>
  <c r="BC190" i="2"/>
  <c r="BC191" i="2"/>
  <c r="BC192" i="2"/>
  <c r="BC193" i="2"/>
  <c r="BC194" i="2"/>
  <c r="BC195" i="2"/>
  <c r="BC196" i="2"/>
  <c r="BC197" i="2"/>
  <c r="BC198" i="2"/>
  <c r="BC199" i="2"/>
  <c r="BC200" i="2"/>
  <c r="BC201" i="2"/>
  <c r="BC202" i="2"/>
  <c r="BC203" i="2"/>
  <c r="BC204" i="2"/>
  <c r="BC205" i="2"/>
  <c r="BC206" i="2"/>
  <c r="BC207" i="2"/>
  <c r="BC208" i="2"/>
  <c r="BC209" i="2"/>
  <c r="BC210" i="2"/>
  <c r="BC211" i="2"/>
  <c r="BC212" i="2"/>
  <c r="BC213" i="2"/>
  <c r="BC214" i="2"/>
  <c r="BC215" i="2"/>
  <c r="BC216" i="2"/>
  <c r="BC217" i="2"/>
  <c r="BC218" i="2"/>
  <c r="BC219" i="2"/>
  <c r="BC220" i="2"/>
  <c r="BC221" i="2"/>
  <c r="BC222" i="2"/>
  <c r="BC223" i="2"/>
  <c r="BC224" i="2"/>
  <c r="BC225" i="2"/>
  <c r="BC226" i="2"/>
  <c r="BC227" i="2"/>
  <c r="BC228" i="2"/>
  <c r="BC229" i="2"/>
  <c r="BC230" i="2"/>
  <c r="BC231" i="2"/>
  <c r="BC232" i="2"/>
  <c r="BC233" i="2"/>
  <c r="BC234" i="2"/>
  <c r="BC235" i="2"/>
  <c r="BC236" i="2"/>
  <c r="BC237" i="2"/>
  <c r="BC238" i="2"/>
  <c r="BC239" i="2"/>
  <c r="BC240" i="2"/>
  <c r="BC241" i="2"/>
  <c r="BC242" i="2"/>
  <c r="BC243" i="2"/>
  <c r="BC244" i="2"/>
  <c r="BC245" i="2"/>
  <c r="BC246" i="2"/>
  <c r="BC247" i="2"/>
  <c r="BC248" i="2"/>
  <c r="BC249" i="2"/>
  <c r="BC250" i="2"/>
  <c r="BC251" i="2"/>
  <c r="BC252" i="2"/>
  <c r="BC253" i="2"/>
  <c r="BC254" i="2"/>
  <c r="BC255" i="2"/>
  <c r="BC256" i="2"/>
  <c r="BC257" i="2"/>
  <c r="BC258" i="2"/>
  <c r="BC259" i="2"/>
  <c r="BC260" i="2"/>
  <c r="BC261" i="2"/>
  <c r="BC262" i="2"/>
  <c r="BC263" i="2"/>
  <c r="BC264" i="2"/>
  <c r="BC265" i="2"/>
  <c r="BC266" i="2"/>
  <c r="BC267" i="2"/>
  <c r="BC268" i="2"/>
  <c r="BC269" i="2"/>
  <c r="BC270" i="2"/>
  <c r="BC271" i="2"/>
  <c r="BC272" i="2"/>
  <c r="BC273" i="2"/>
  <c r="BC274" i="2"/>
  <c r="BC275" i="2"/>
  <c r="BC276" i="2"/>
  <c r="BC277" i="2"/>
  <c r="BC278" i="2"/>
  <c r="BC279" i="2"/>
  <c r="BC280" i="2"/>
  <c r="BC281" i="2"/>
  <c r="BC282" i="2"/>
  <c r="BC283" i="2"/>
  <c r="BC284" i="2"/>
  <c r="BC285" i="2"/>
  <c r="BC286" i="2"/>
  <c r="BC287" i="2"/>
  <c r="BC288" i="2"/>
  <c r="BC289" i="2"/>
  <c r="BC290" i="2"/>
  <c r="BC291" i="2"/>
  <c r="BC292" i="2"/>
  <c r="BC293" i="2"/>
  <c r="BC294" i="2"/>
  <c r="BC295" i="2"/>
  <c r="BC296" i="2"/>
  <c r="BC297" i="2"/>
  <c r="BC298" i="2"/>
  <c r="BC299" i="2"/>
  <c r="BC300" i="2"/>
  <c r="BC301" i="2"/>
  <c r="BC302" i="2"/>
  <c r="BC303" i="2"/>
  <c r="BC304" i="2"/>
  <c r="BC305" i="2"/>
  <c r="BC306" i="2"/>
  <c r="BC307" i="2"/>
  <c r="BC308" i="2"/>
  <c r="BC309" i="2"/>
  <c r="BC310" i="2"/>
  <c r="BC311" i="2"/>
  <c r="BC312" i="2"/>
  <c r="BC313" i="2"/>
  <c r="BC314" i="2"/>
  <c r="BC315" i="2"/>
  <c r="BC316" i="2"/>
  <c r="BC317" i="2"/>
  <c r="BC318" i="2"/>
  <c r="BC319" i="2"/>
  <c r="BC320" i="2"/>
  <c r="BC321" i="2"/>
  <c r="BC322" i="2"/>
  <c r="BC323" i="2"/>
  <c r="BC324" i="2"/>
  <c r="BC325" i="2"/>
  <c r="BC326" i="2"/>
  <c r="BC327" i="2"/>
  <c r="BC328" i="2"/>
  <c r="BC329" i="2"/>
  <c r="BC330" i="2"/>
  <c r="BC331" i="2"/>
  <c r="BC332" i="2"/>
  <c r="BC333" i="2"/>
  <c r="BC334" i="2"/>
  <c r="BC335" i="2"/>
  <c r="BC336" i="2"/>
  <c r="BC337" i="2"/>
  <c r="BC338" i="2"/>
  <c r="BC339" i="2"/>
  <c r="BC340" i="2"/>
  <c r="BC341" i="2"/>
  <c r="BC342" i="2"/>
  <c r="BC343" i="2"/>
  <c r="BC344" i="2"/>
  <c r="BC345" i="2"/>
  <c r="BC346" i="2"/>
  <c r="BC347" i="2"/>
  <c r="BC348" i="2"/>
  <c r="BC349" i="2"/>
  <c r="BC350" i="2"/>
  <c r="BC351" i="2"/>
  <c r="BC352" i="2"/>
  <c r="BC353" i="2"/>
  <c r="BC354" i="2"/>
  <c r="BC355" i="2"/>
  <c r="BC356" i="2"/>
  <c r="BC357" i="2"/>
  <c r="BC358" i="2"/>
  <c r="BC359" i="2"/>
  <c r="BC360" i="2"/>
  <c r="BC361" i="2"/>
  <c r="BC362" i="2"/>
  <c r="BC363" i="2"/>
  <c r="BC364" i="2"/>
  <c r="BC365" i="2"/>
  <c r="BC366" i="2"/>
  <c r="BC367" i="2"/>
  <c r="BC368" i="2"/>
  <c r="BC369" i="2"/>
  <c r="BC370" i="2"/>
  <c r="BC371" i="2"/>
  <c r="BC372" i="2"/>
  <c r="BC373" i="2"/>
  <c r="BC374" i="2"/>
  <c r="BC375" i="2"/>
  <c r="BC376" i="2"/>
  <c r="BC377" i="2"/>
  <c r="BC378" i="2"/>
  <c r="BC379" i="2"/>
  <c r="BC380" i="2"/>
  <c r="BC381" i="2"/>
  <c r="BC382" i="2"/>
  <c r="BC383" i="2"/>
  <c r="BC384" i="2"/>
  <c r="BC385" i="2"/>
  <c r="BC386" i="2"/>
  <c r="BC387" i="2"/>
  <c r="BC388" i="2"/>
  <c r="BC389" i="2"/>
  <c r="BC390" i="2"/>
  <c r="BC391" i="2"/>
  <c r="BC392" i="2"/>
  <c r="BC393" i="2"/>
  <c r="BC394" i="2"/>
  <c r="BC395" i="2"/>
  <c r="BC396" i="2"/>
  <c r="BC397" i="2"/>
  <c r="BC398" i="2"/>
  <c r="BC399" i="2"/>
  <c r="BC400" i="2"/>
  <c r="BC401" i="2"/>
  <c r="BC402" i="2"/>
  <c r="BC403" i="2"/>
  <c r="BC404" i="2"/>
  <c r="BC405" i="2"/>
  <c r="BC406" i="2"/>
  <c r="BC407" i="2"/>
  <c r="BC408" i="2"/>
  <c r="BC409" i="2"/>
  <c r="BC410" i="2"/>
  <c r="BC411" i="2"/>
  <c r="BC412" i="2"/>
  <c r="BC413" i="2"/>
  <c r="BC414" i="2"/>
  <c r="BC415" i="2"/>
  <c r="BC416" i="2"/>
  <c r="BC417" i="2"/>
  <c r="BC418" i="2"/>
  <c r="BC419" i="2"/>
  <c r="BC420" i="2"/>
  <c r="BC421" i="2"/>
  <c r="BC422" i="2"/>
  <c r="BC423" i="2"/>
  <c r="BC424" i="2"/>
  <c r="BC425" i="2"/>
  <c r="BC426" i="2"/>
  <c r="BC427" i="2"/>
  <c r="BC428" i="2"/>
  <c r="BC429" i="2"/>
  <c r="BC430" i="2"/>
  <c r="BC431" i="2"/>
  <c r="BC432" i="2"/>
  <c r="BC433" i="2"/>
  <c r="BC434" i="2"/>
  <c r="BC435" i="2"/>
  <c r="BC436" i="2"/>
  <c r="BC437" i="2"/>
  <c r="BC438" i="2"/>
  <c r="BC439" i="2"/>
  <c r="BC440" i="2"/>
  <c r="BC441" i="2"/>
  <c r="BC442" i="2"/>
  <c r="BC443" i="2"/>
  <c r="BC444" i="2"/>
  <c r="BC445" i="2"/>
  <c r="BC446" i="2"/>
  <c r="BC447" i="2"/>
  <c r="BC448" i="2"/>
  <c r="BC449" i="2"/>
  <c r="BC450" i="2"/>
  <c r="BC451" i="2"/>
  <c r="BC452" i="2"/>
  <c r="BC453" i="2"/>
  <c r="BC454" i="2"/>
  <c r="BC455" i="2"/>
  <c r="BC456" i="2"/>
  <c r="BC457" i="2"/>
  <c r="BC458" i="2"/>
  <c r="BC459" i="2"/>
  <c r="BC460" i="2"/>
  <c r="BC461" i="2"/>
  <c r="BC462" i="2"/>
  <c r="BC463" i="2"/>
  <c r="BC464" i="2"/>
  <c r="BC465" i="2"/>
  <c r="BC466" i="2"/>
  <c r="BC467" i="2"/>
  <c r="BC468" i="2"/>
  <c r="BC469" i="2"/>
  <c r="BC470" i="2"/>
  <c r="BC471" i="2"/>
  <c r="BC472" i="2"/>
  <c r="BC473" i="2"/>
  <c r="BC474" i="2"/>
  <c r="BC475" i="2"/>
  <c r="BC476" i="2"/>
  <c r="BC477" i="2"/>
  <c r="BC478" i="2"/>
  <c r="BC479" i="2"/>
  <c r="BC480" i="2"/>
  <c r="BC481" i="2"/>
  <c r="BC482" i="2"/>
  <c r="BC483" i="2"/>
  <c r="BC484" i="2"/>
  <c r="BC485" i="2"/>
  <c r="BC486" i="2"/>
  <c r="BC487" i="2"/>
  <c r="BC488" i="2"/>
  <c r="BC489" i="2"/>
  <c r="BC490" i="2"/>
  <c r="BC491" i="2"/>
  <c r="BC492" i="2"/>
  <c r="BC493" i="2"/>
  <c r="BC494" i="2"/>
  <c r="BC495" i="2"/>
  <c r="BC496" i="2"/>
  <c r="BC497" i="2"/>
  <c r="BC498" i="2"/>
  <c r="BC499" i="2"/>
  <c r="BC500" i="2"/>
  <c r="BC501" i="2"/>
  <c r="BC11" i="2"/>
  <c r="E166" i="5"/>
  <c r="G166" i="5"/>
  <c r="E66" i="5"/>
  <c r="E68" i="5"/>
  <c r="E69" i="5"/>
  <c r="E70" i="5"/>
  <c r="E71" i="5"/>
  <c r="G67" i="5"/>
  <c r="H67" i="5"/>
  <c r="G68" i="5"/>
  <c r="H68" i="5"/>
  <c r="G69" i="5"/>
  <c r="H69" i="5"/>
  <c r="G70" i="5"/>
  <c r="H70" i="5"/>
  <c r="G66" i="5"/>
  <c r="H66" i="5"/>
  <c r="J11" i="2"/>
  <c r="E139" i="5"/>
  <c r="E140" i="5"/>
  <c r="P11" i="2"/>
  <c r="E141" i="5"/>
  <c r="S11" i="2"/>
  <c r="E142" i="5"/>
  <c r="Q11" i="2"/>
  <c r="E143" i="5"/>
  <c r="R11" i="2"/>
  <c r="E144" i="5"/>
  <c r="K11" i="2"/>
  <c r="E145" i="5"/>
  <c r="L11" i="2"/>
  <c r="E146" i="5"/>
  <c r="M11" i="2"/>
  <c r="E147" i="5"/>
  <c r="E148" i="5"/>
  <c r="AU11" i="2"/>
  <c r="E149" i="5"/>
  <c r="E137" i="5"/>
  <c r="E151" i="5"/>
  <c r="F152" i="5"/>
  <c r="H33" i="5"/>
  <c r="G33" i="5"/>
  <c r="I33" i="5"/>
  <c r="I34" i="5"/>
  <c r="I35" i="5"/>
  <c r="G36" i="5"/>
  <c r="I36" i="5"/>
  <c r="E32" i="5"/>
  <c r="H36" i="5"/>
  <c r="J36" i="5"/>
  <c r="J35" i="5"/>
  <c r="J34" i="5"/>
  <c r="J33" i="5"/>
  <c r="AD11" i="2"/>
  <c r="G73" i="5"/>
  <c r="E124" i="5"/>
  <c r="M112" i="5"/>
  <c r="O112" i="5"/>
  <c r="F138" i="5"/>
  <c r="F139" i="5"/>
  <c r="F140" i="5"/>
  <c r="F141" i="5"/>
  <c r="F142" i="5"/>
  <c r="E57" i="5"/>
  <c r="F143" i="5"/>
  <c r="E58" i="5"/>
  <c r="F144" i="5"/>
  <c r="E59" i="5"/>
  <c r="F145" i="5"/>
  <c r="E105" i="5"/>
  <c r="F146" i="5"/>
  <c r="F147" i="5"/>
  <c r="E107" i="5"/>
  <c r="F149" i="5"/>
  <c r="F148" i="5"/>
  <c r="F137" i="5"/>
  <c r="AW501" i="2"/>
  <c r="AZ501" i="2"/>
  <c r="E106" i="5"/>
  <c r="E162" i="5"/>
  <c r="I11" i="2"/>
  <c r="AP13" i="2"/>
  <c r="AQ13" i="2"/>
  <c r="AP14" i="2"/>
  <c r="AQ14" i="2"/>
  <c r="AP15" i="2"/>
  <c r="AQ15" i="2"/>
  <c r="AP16" i="2"/>
  <c r="AQ16" i="2"/>
  <c r="AP17" i="2"/>
  <c r="AQ17" i="2"/>
  <c r="AP18" i="2"/>
  <c r="AQ18" i="2"/>
  <c r="AP19" i="2"/>
  <c r="AQ19" i="2"/>
  <c r="AP20" i="2"/>
  <c r="AQ20" i="2"/>
  <c r="AP21" i="2"/>
  <c r="AQ21" i="2"/>
  <c r="AP22" i="2"/>
  <c r="AQ22" i="2"/>
  <c r="AP23" i="2"/>
  <c r="AQ23" i="2"/>
  <c r="AP24" i="2"/>
  <c r="AQ24" i="2"/>
  <c r="AP25" i="2"/>
  <c r="AQ25" i="2"/>
  <c r="AP26" i="2"/>
  <c r="AQ26" i="2"/>
  <c r="AP27" i="2"/>
  <c r="AQ27" i="2"/>
  <c r="AP28" i="2"/>
  <c r="AQ28" i="2"/>
  <c r="AP29" i="2"/>
  <c r="AQ29" i="2"/>
  <c r="AP30" i="2"/>
  <c r="AQ30" i="2"/>
  <c r="AP31" i="2"/>
  <c r="AQ31" i="2"/>
  <c r="AP32" i="2"/>
  <c r="AQ32" i="2"/>
  <c r="AP33" i="2"/>
  <c r="AQ33" i="2"/>
  <c r="AP34" i="2"/>
  <c r="AQ34" i="2"/>
  <c r="AP35" i="2"/>
  <c r="AQ35" i="2"/>
  <c r="AP36" i="2"/>
  <c r="AQ36" i="2"/>
  <c r="AP37" i="2"/>
  <c r="AQ37" i="2"/>
  <c r="AP38" i="2"/>
  <c r="AQ38" i="2"/>
  <c r="AP39" i="2"/>
  <c r="AQ39" i="2"/>
  <c r="AP40" i="2"/>
  <c r="AQ40" i="2"/>
  <c r="AP41" i="2"/>
  <c r="AQ41" i="2"/>
  <c r="AP42" i="2"/>
  <c r="AQ42" i="2"/>
  <c r="AP43" i="2"/>
  <c r="AQ43" i="2"/>
  <c r="AP44" i="2"/>
  <c r="AQ44" i="2"/>
  <c r="AP45" i="2"/>
  <c r="AQ45" i="2"/>
  <c r="AP46" i="2"/>
  <c r="AQ46" i="2"/>
  <c r="AP47" i="2"/>
  <c r="AQ47" i="2"/>
  <c r="AP48" i="2"/>
  <c r="AQ48" i="2"/>
  <c r="AP49" i="2"/>
  <c r="AQ49" i="2"/>
  <c r="AP50" i="2"/>
  <c r="AQ50" i="2"/>
  <c r="AP51" i="2"/>
  <c r="AQ51" i="2"/>
  <c r="AP52" i="2"/>
  <c r="AQ52" i="2"/>
  <c r="AP53" i="2"/>
  <c r="AQ53" i="2"/>
  <c r="AP54" i="2"/>
  <c r="AQ54" i="2"/>
  <c r="AP55" i="2"/>
  <c r="AQ55" i="2"/>
  <c r="AP56" i="2"/>
  <c r="AQ56" i="2"/>
  <c r="AP57" i="2"/>
  <c r="AQ57" i="2"/>
  <c r="AP58" i="2"/>
  <c r="AQ58" i="2"/>
  <c r="AP59" i="2"/>
  <c r="AQ59" i="2"/>
  <c r="AP60" i="2"/>
  <c r="AQ60" i="2"/>
  <c r="AP61" i="2"/>
  <c r="AQ61" i="2"/>
  <c r="AP62" i="2"/>
  <c r="AQ62" i="2"/>
  <c r="AP63" i="2"/>
  <c r="AQ63" i="2"/>
  <c r="AP64" i="2"/>
  <c r="AQ64" i="2"/>
  <c r="AP65" i="2"/>
  <c r="AQ65" i="2"/>
  <c r="AP66" i="2"/>
  <c r="AQ66" i="2"/>
  <c r="AP67" i="2"/>
  <c r="AQ67" i="2"/>
  <c r="AP68" i="2"/>
  <c r="AQ68" i="2"/>
  <c r="AP69" i="2"/>
  <c r="AQ69" i="2"/>
  <c r="AP70" i="2"/>
  <c r="AQ70" i="2"/>
  <c r="AP71" i="2"/>
  <c r="AQ71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P83" i="2"/>
  <c r="AQ83" i="2"/>
  <c r="AP84" i="2"/>
  <c r="AQ84" i="2"/>
  <c r="AP85" i="2"/>
  <c r="AQ85" i="2"/>
  <c r="AP86" i="2"/>
  <c r="AQ86" i="2"/>
  <c r="AP87" i="2"/>
  <c r="AQ87" i="2"/>
  <c r="AP88" i="2"/>
  <c r="AQ88" i="2"/>
  <c r="AP89" i="2"/>
  <c r="AQ89" i="2"/>
  <c r="AP90" i="2"/>
  <c r="AQ90" i="2"/>
  <c r="AP91" i="2"/>
  <c r="AQ91" i="2"/>
  <c r="AP92" i="2"/>
  <c r="AQ92" i="2"/>
  <c r="AP93" i="2"/>
  <c r="AQ93" i="2"/>
  <c r="AP94" i="2"/>
  <c r="AQ94" i="2"/>
  <c r="AP95" i="2"/>
  <c r="AQ95" i="2"/>
  <c r="AP96" i="2"/>
  <c r="AQ96" i="2"/>
  <c r="AP97" i="2"/>
  <c r="AQ97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P109" i="2"/>
  <c r="AQ109" i="2"/>
  <c r="AP110" i="2"/>
  <c r="AQ110" i="2"/>
  <c r="AP111" i="2"/>
  <c r="AQ111" i="2"/>
  <c r="AP112" i="2"/>
  <c r="AQ112" i="2"/>
  <c r="AP113" i="2"/>
  <c r="AQ113" i="2"/>
  <c r="AP114" i="2"/>
  <c r="AQ114" i="2"/>
  <c r="AP115" i="2"/>
  <c r="AQ115" i="2"/>
  <c r="AP116" i="2"/>
  <c r="AQ116" i="2"/>
  <c r="AP117" i="2"/>
  <c r="AQ117" i="2"/>
  <c r="AP118" i="2"/>
  <c r="AQ118" i="2"/>
  <c r="AP119" i="2"/>
  <c r="AQ119" i="2"/>
  <c r="AP120" i="2"/>
  <c r="AQ120" i="2"/>
  <c r="AP121" i="2"/>
  <c r="AQ121" i="2"/>
  <c r="AP122" i="2"/>
  <c r="AQ122" i="2"/>
  <c r="AP123" i="2"/>
  <c r="AQ123" i="2"/>
  <c r="AP124" i="2"/>
  <c r="AQ124" i="2"/>
  <c r="AP125" i="2"/>
  <c r="AQ125" i="2"/>
  <c r="AP126" i="2"/>
  <c r="AQ126" i="2"/>
  <c r="AP127" i="2"/>
  <c r="AQ127" i="2"/>
  <c r="AP128" i="2"/>
  <c r="AQ128" i="2"/>
  <c r="AP129" i="2"/>
  <c r="AQ129" i="2"/>
  <c r="AP130" i="2"/>
  <c r="AQ130" i="2"/>
  <c r="AP131" i="2"/>
  <c r="AQ131" i="2"/>
  <c r="AP132" i="2"/>
  <c r="AQ132" i="2"/>
  <c r="AP133" i="2"/>
  <c r="AQ133" i="2"/>
  <c r="AP134" i="2"/>
  <c r="AQ134" i="2"/>
  <c r="AP135" i="2"/>
  <c r="AQ135" i="2"/>
  <c r="AP136" i="2"/>
  <c r="AQ136" i="2"/>
  <c r="AP137" i="2"/>
  <c r="AQ137" i="2"/>
  <c r="AP138" i="2"/>
  <c r="AQ138" i="2"/>
  <c r="AP139" i="2"/>
  <c r="AQ139" i="2"/>
  <c r="AP140" i="2"/>
  <c r="AQ140" i="2"/>
  <c r="AP141" i="2"/>
  <c r="AQ141" i="2"/>
  <c r="AP142" i="2"/>
  <c r="AQ142" i="2"/>
  <c r="AP143" i="2"/>
  <c r="AQ143" i="2"/>
  <c r="AP144" i="2"/>
  <c r="AQ144" i="2"/>
  <c r="AP145" i="2"/>
  <c r="AQ145" i="2"/>
  <c r="AP146" i="2"/>
  <c r="AQ146" i="2"/>
  <c r="AP147" i="2"/>
  <c r="AQ147" i="2"/>
  <c r="AP148" i="2"/>
  <c r="AQ148" i="2"/>
  <c r="AP149" i="2"/>
  <c r="AQ149" i="2"/>
  <c r="AP150" i="2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P161" i="2"/>
  <c r="AQ161" i="2"/>
  <c r="AP162" i="2"/>
  <c r="AQ162" i="2"/>
  <c r="AP163" i="2"/>
  <c r="AQ163" i="2"/>
  <c r="AP164" i="2"/>
  <c r="AQ164" i="2"/>
  <c r="AP165" i="2"/>
  <c r="AQ165" i="2"/>
  <c r="AP166" i="2"/>
  <c r="AQ166" i="2"/>
  <c r="AP167" i="2"/>
  <c r="AQ167" i="2"/>
  <c r="AP168" i="2"/>
  <c r="AQ168" i="2"/>
  <c r="AP169" i="2"/>
  <c r="AQ169" i="2"/>
  <c r="AP170" i="2"/>
  <c r="AQ170" i="2"/>
  <c r="AP171" i="2"/>
  <c r="AQ171" i="2"/>
  <c r="AP172" i="2"/>
  <c r="AQ172" i="2"/>
  <c r="AP173" i="2"/>
  <c r="AQ173" i="2"/>
  <c r="AP174" i="2"/>
  <c r="AQ174" i="2"/>
  <c r="AP175" i="2"/>
  <c r="AQ175" i="2"/>
  <c r="AP176" i="2"/>
  <c r="AQ176" i="2"/>
  <c r="AP177" i="2"/>
  <c r="AQ177" i="2"/>
  <c r="AP178" i="2"/>
  <c r="AQ178" i="2"/>
  <c r="AP179" i="2"/>
  <c r="AQ179" i="2"/>
  <c r="AP180" i="2"/>
  <c r="AQ180" i="2"/>
  <c r="AP181" i="2"/>
  <c r="AQ181" i="2"/>
  <c r="AP182" i="2"/>
  <c r="AQ182" i="2"/>
  <c r="AP183" i="2"/>
  <c r="AQ183" i="2"/>
  <c r="AP184" i="2"/>
  <c r="AQ184" i="2"/>
  <c r="AP185" i="2"/>
  <c r="AQ185" i="2"/>
  <c r="AP186" i="2"/>
  <c r="AQ186" i="2"/>
  <c r="AP187" i="2"/>
  <c r="AQ187" i="2"/>
  <c r="AP188" i="2"/>
  <c r="AQ188" i="2"/>
  <c r="AP189" i="2"/>
  <c r="AQ189" i="2"/>
  <c r="AP190" i="2"/>
  <c r="AQ190" i="2"/>
  <c r="AP191" i="2"/>
  <c r="AQ191" i="2"/>
  <c r="AP192" i="2"/>
  <c r="AQ192" i="2"/>
  <c r="AP193" i="2"/>
  <c r="AQ193" i="2"/>
  <c r="AP194" i="2"/>
  <c r="AQ194" i="2"/>
  <c r="AP195" i="2"/>
  <c r="AQ195" i="2"/>
  <c r="AP196" i="2"/>
  <c r="AQ196" i="2"/>
  <c r="AP197" i="2"/>
  <c r="AQ197" i="2"/>
  <c r="AP198" i="2"/>
  <c r="AQ198" i="2"/>
  <c r="AP199" i="2"/>
  <c r="AQ199" i="2"/>
  <c r="AP200" i="2"/>
  <c r="AQ200" i="2"/>
  <c r="AP201" i="2"/>
  <c r="AQ201" i="2"/>
  <c r="AP202" i="2"/>
  <c r="AQ202" i="2"/>
  <c r="AP203" i="2"/>
  <c r="AQ203" i="2"/>
  <c r="AP204" i="2"/>
  <c r="AQ204" i="2"/>
  <c r="AP205" i="2"/>
  <c r="AQ205" i="2"/>
  <c r="AP206" i="2"/>
  <c r="AQ206" i="2"/>
  <c r="AP207" i="2"/>
  <c r="AQ207" i="2"/>
  <c r="AP208" i="2"/>
  <c r="AQ208" i="2"/>
  <c r="AP209" i="2"/>
  <c r="AQ209" i="2"/>
  <c r="AP210" i="2"/>
  <c r="AQ210" i="2"/>
  <c r="AP211" i="2"/>
  <c r="AQ211" i="2"/>
  <c r="AP212" i="2"/>
  <c r="AQ212" i="2"/>
  <c r="AP213" i="2"/>
  <c r="AQ213" i="2"/>
  <c r="AP214" i="2"/>
  <c r="AQ214" i="2"/>
  <c r="AP215" i="2"/>
  <c r="AQ215" i="2"/>
  <c r="AP216" i="2"/>
  <c r="AQ216" i="2"/>
  <c r="AP217" i="2"/>
  <c r="AQ217" i="2"/>
  <c r="AP218" i="2"/>
  <c r="AQ218" i="2"/>
  <c r="AP219" i="2"/>
  <c r="AQ219" i="2"/>
  <c r="AP220" i="2"/>
  <c r="AQ220" i="2"/>
  <c r="AP221" i="2"/>
  <c r="AQ221" i="2"/>
  <c r="AP222" i="2"/>
  <c r="AQ222" i="2"/>
  <c r="AP223" i="2"/>
  <c r="AQ223" i="2"/>
  <c r="AP224" i="2"/>
  <c r="AQ224" i="2"/>
  <c r="AP225" i="2"/>
  <c r="AQ225" i="2"/>
  <c r="AP226" i="2"/>
  <c r="AQ226" i="2"/>
  <c r="AP227" i="2"/>
  <c r="AQ227" i="2"/>
  <c r="AP228" i="2"/>
  <c r="AQ228" i="2"/>
  <c r="AP229" i="2"/>
  <c r="AQ229" i="2"/>
  <c r="AP230" i="2"/>
  <c r="AQ230" i="2"/>
  <c r="AP231" i="2"/>
  <c r="AQ231" i="2"/>
  <c r="AP232" i="2"/>
  <c r="AQ232" i="2"/>
  <c r="AP233" i="2"/>
  <c r="AQ233" i="2"/>
  <c r="AP234" i="2"/>
  <c r="AQ234" i="2"/>
  <c r="AP235" i="2"/>
  <c r="AQ235" i="2"/>
  <c r="AP236" i="2"/>
  <c r="AQ236" i="2"/>
  <c r="AP237" i="2"/>
  <c r="AQ237" i="2"/>
  <c r="AP238" i="2"/>
  <c r="AQ238" i="2"/>
  <c r="AP239" i="2"/>
  <c r="AQ239" i="2"/>
  <c r="AP240" i="2"/>
  <c r="AQ240" i="2"/>
  <c r="AP241" i="2"/>
  <c r="AQ241" i="2"/>
  <c r="AP242" i="2"/>
  <c r="AQ242" i="2"/>
  <c r="AP243" i="2"/>
  <c r="AQ243" i="2"/>
  <c r="AP244" i="2"/>
  <c r="AQ244" i="2"/>
  <c r="AP245" i="2"/>
  <c r="AQ245" i="2"/>
  <c r="AP246" i="2"/>
  <c r="AQ246" i="2"/>
  <c r="AP247" i="2"/>
  <c r="AQ247" i="2"/>
  <c r="AP248" i="2"/>
  <c r="AQ248" i="2"/>
  <c r="AP249" i="2"/>
  <c r="AQ249" i="2"/>
  <c r="AP250" i="2"/>
  <c r="AQ250" i="2"/>
  <c r="AP251" i="2"/>
  <c r="AQ251" i="2"/>
  <c r="AP252" i="2"/>
  <c r="AQ252" i="2"/>
  <c r="AP253" i="2"/>
  <c r="AQ253" i="2"/>
  <c r="AP254" i="2"/>
  <c r="AQ254" i="2"/>
  <c r="AP255" i="2"/>
  <c r="AQ255" i="2"/>
  <c r="AP256" i="2"/>
  <c r="AQ256" i="2"/>
  <c r="AP257" i="2"/>
  <c r="AQ257" i="2"/>
  <c r="AP258" i="2"/>
  <c r="AQ258" i="2"/>
  <c r="AP259" i="2"/>
  <c r="AQ259" i="2"/>
  <c r="AP260" i="2"/>
  <c r="AQ260" i="2"/>
  <c r="AP261" i="2"/>
  <c r="AQ261" i="2"/>
  <c r="AP262" i="2"/>
  <c r="AQ262" i="2"/>
  <c r="AP263" i="2"/>
  <c r="AQ263" i="2"/>
  <c r="AP264" i="2"/>
  <c r="AQ264" i="2"/>
  <c r="AP265" i="2"/>
  <c r="AQ265" i="2"/>
  <c r="AP266" i="2"/>
  <c r="AQ266" i="2"/>
  <c r="AP267" i="2"/>
  <c r="AQ267" i="2"/>
  <c r="AP268" i="2"/>
  <c r="AQ268" i="2"/>
  <c r="AP269" i="2"/>
  <c r="AQ269" i="2"/>
  <c r="AP270" i="2"/>
  <c r="AQ270" i="2"/>
  <c r="AP271" i="2"/>
  <c r="AQ271" i="2"/>
  <c r="AP272" i="2"/>
  <c r="AQ272" i="2"/>
  <c r="AP273" i="2"/>
  <c r="AQ273" i="2"/>
  <c r="AP274" i="2"/>
  <c r="AQ274" i="2"/>
  <c r="AP275" i="2"/>
  <c r="AQ275" i="2"/>
  <c r="AP276" i="2"/>
  <c r="AQ276" i="2"/>
  <c r="AP277" i="2"/>
  <c r="AQ277" i="2"/>
  <c r="AP278" i="2"/>
  <c r="AQ278" i="2"/>
  <c r="AP279" i="2"/>
  <c r="AQ279" i="2"/>
  <c r="AP280" i="2"/>
  <c r="AQ280" i="2"/>
  <c r="AP281" i="2"/>
  <c r="AQ281" i="2"/>
  <c r="AP282" i="2"/>
  <c r="AQ282" i="2"/>
  <c r="AP283" i="2"/>
  <c r="AQ283" i="2"/>
  <c r="AP284" i="2"/>
  <c r="AQ284" i="2"/>
  <c r="AP285" i="2"/>
  <c r="AQ285" i="2"/>
  <c r="AP286" i="2"/>
  <c r="AQ286" i="2"/>
  <c r="AP287" i="2"/>
  <c r="AQ287" i="2"/>
  <c r="AP288" i="2"/>
  <c r="AQ288" i="2"/>
  <c r="AP289" i="2"/>
  <c r="AQ289" i="2"/>
  <c r="AP290" i="2"/>
  <c r="AQ290" i="2"/>
  <c r="AP291" i="2"/>
  <c r="AQ291" i="2"/>
  <c r="AP292" i="2"/>
  <c r="AQ292" i="2"/>
  <c r="AP293" i="2"/>
  <c r="AQ293" i="2"/>
  <c r="AP294" i="2"/>
  <c r="AQ294" i="2"/>
  <c r="AP295" i="2"/>
  <c r="AQ295" i="2"/>
  <c r="AP296" i="2"/>
  <c r="AQ296" i="2"/>
  <c r="AP297" i="2"/>
  <c r="AQ297" i="2"/>
  <c r="AP298" i="2"/>
  <c r="AQ298" i="2"/>
  <c r="AP299" i="2"/>
  <c r="AQ299" i="2"/>
  <c r="AP300" i="2"/>
  <c r="AQ300" i="2"/>
  <c r="AP301" i="2"/>
  <c r="AQ301" i="2"/>
  <c r="AP302" i="2"/>
  <c r="AQ302" i="2"/>
  <c r="AP303" i="2"/>
  <c r="AQ303" i="2"/>
  <c r="AP304" i="2"/>
  <c r="AQ304" i="2"/>
  <c r="AP305" i="2"/>
  <c r="AQ305" i="2"/>
  <c r="AP306" i="2"/>
  <c r="AQ306" i="2"/>
  <c r="AP307" i="2"/>
  <c r="AQ307" i="2"/>
  <c r="AP308" i="2"/>
  <c r="AQ308" i="2"/>
  <c r="AP309" i="2"/>
  <c r="AQ309" i="2"/>
  <c r="AP310" i="2"/>
  <c r="AQ310" i="2"/>
  <c r="AP311" i="2"/>
  <c r="AQ311" i="2"/>
  <c r="AP312" i="2"/>
  <c r="AQ312" i="2"/>
  <c r="AP313" i="2"/>
  <c r="AQ313" i="2"/>
  <c r="AP314" i="2"/>
  <c r="AQ314" i="2"/>
  <c r="AP315" i="2"/>
  <c r="AQ315" i="2"/>
  <c r="AP316" i="2"/>
  <c r="AQ316" i="2"/>
  <c r="AP317" i="2"/>
  <c r="AQ317" i="2"/>
  <c r="AP318" i="2"/>
  <c r="AQ318" i="2"/>
  <c r="AP319" i="2"/>
  <c r="AQ319" i="2"/>
  <c r="AP320" i="2"/>
  <c r="AQ320" i="2"/>
  <c r="AP321" i="2"/>
  <c r="AQ321" i="2"/>
  <c r="AP322" i="2"/>
  <c r="AQ322" i="2"/>
  <c r="AP323" i="2"/>
  <c r="AQ323" i="2"/>
  <c r="AP324" i="2"/>
  <c r="AQ324" i="2"/>
  <c r="AP325" i="2"/>
  <c r="AQ325" i="2"/>
  <c r="AP326" i="2"/>
  <c r="AQ326" i="2"/>
  <c r="AP327" i="2"/>
  <c r="AQ327" i="2"/>
  <c r="AP328" i="2"/>
  <c r="AQ328" i="2"/>
  <c r="AP329" i="2"/>
  <c r="AQ329" i="2"/>
  <c r="AP330" i="2"/>
  <c r="AQ330" i="2"/>
  <c r="AP331" i="2"/>
  <c r="AQ331" i="2"/>
  <c r="AP332" i="2"/>
  <c r="AQ332" i="2"/>
  <c r="AP333" i="2"/>
  <c r="AQ333" i="2"/>
  <c r="AP334" i="2"/>
  <c r="AQ334" i="2"/>
  <c r="AP335" i="2"/>
  <c r="AQ335" i="2"/>
  <c r="AP336" i="2"/>
  <c r="AQ336" i="2"/>
  <c r="AP337" i="2"/>
  <c r="AQ337" i="2"/>
  <c r="AP338" i="2"/>
  <c r="AQ338" i="2"/>
  <c r="AP339" i="2"/>
  <c r="AQ339" i="2"/>
  <c r="AP340" i="2"/>
  <c r="AQ340" i="2"/>
  <c r="AP341" i="2"/>
  <c r="AQ341" i="2"/>
  <c r="AP342" i="2"/>
  <c r="AQ342" i="2"/>
  <c r="AP343" i="2"/>
  <c r="AQ343" i="2"/>
  <c r="AP344" i="2"/>
  <c r="AQ344" i="2"/>
  <c r="AP345" i="2"/>
  <c r="AQ345" i="2"/>
  <c r="AP346" i="2"/>
  <c r="AQ346" i="2"/>
  <c r="AP347" i="2"/>
  <c r="AQ347" i="2"/>
  <c r="AP348" i="2"/>
  <c r="AQ348" i="2"/>
  <c r="AP349" i="2"/>
  <c r="AQ349" i="2"/>
  <c r="AP350" i="2"/>
  <c r="AQ350" i="2"/>
  <c r="AP351" i="2"/>
  <c r="AQ351" i="2"/>
  <c r="AP352" i="2"/>
  <c r="AQ352" i="2"/>
  <c r="AP353" i="2"/>
  <c r="AQ353" i="2"/>
  <c r="AP354" i="2"/>
  <c r="AQ354" i="2"/>
  <c r="AP355" i="2"/>
  <c r="AQ355" i="2"/>
  <c r="AP356" i="2"/>
  <c r="AQ356" i="2"/>
  <c r="AP357" i="2"/>
  <c r="AQ357" i="2"/>
  <c r="AP358" i="2"/>
  <c r="AQ358" i="2"/>
  <c r="AP359" i="2"/>
  <c r="AQ359" i="2"/>
  <c r="AP360" i="2"/>
  <c r="AQ360" i="2"/>
  <c r="AP361" i="2"/>
  <c r="AQ361" i="2"/>
  <c r="AP362" i="2"/>
  <c r="AQ362" i="2"/>
  <c r="AP363" i="2"/>
  <c r="AQ363" i="2"/>
  <c r="AP364" i="2"/>
  <c r="AQ364" i="2"/>
  <c r="AP365" i="2"/>
  <c r="AQ365" i="2"/>
  <c r="AP366" i="2"/>
  <c r="AQ366" i="2"/>
  <c r="AP367" i="2"/>
  <c r="AQ367" i="2"/>
  <c r="AP368" i="2"/>
  <c r="AQ368" i="2"/>
  <c r="AP369" i="2"/>
  <c r="AQ369" i="2"/>
  <c r="AP370" i="2"/>
  <c r="AQ370" i="2"/>
  <c r="AP371" i="2"/>
  <c r="AQ371" i="2"/>
  <c r="AP372" i="2"/>
  <c r="AQ372" i="2"/>
  <c r="AP373" i="2"/>
  <c r="AQ373" i="2"/>
  <c r="AP374" i="2"/>
  <c r="AQ374" i="2"/>
  <c r="AP375" i="2"/>
  <c r="AQ375" i="2"/>
  <c r="AP376" i="2"/>
  <c r="AQ376" i="2"/>
  <c r="AP377" i="2"/>
  <c r="AQ377" i="2"/>
  <c r="AP378" i="2"/>
  <c r="AQ378" i="2"/>
  <c r="AP379" i="2"/>
  <c r="AQ379" i="2"/>
  <c r="AP380" i="2"/>
  <c r="AQ380" i="2"/>
  <c r="AP381" i="2"/>
  <c r="AQ381" i="2"/>
  <c r="AP382" i="2"/>
  <c r="AQ382" i="2"/>
  <c r="AP383" i="2"/>
  <c r="AQ383" i="2"/>
  <c r="AP384" i="2"/>
  <c r="AQ384" i="2"/>
  <c r="AP385" i="2"/>
  <c r="AQ385" i="2"/>
  <c r="AP386" i="2"/>
  <c r="AQ386" i="2"/>
  <c r="AP387" i="2"/>
  <c r="AQ387" i="2"/>
  <c r="AP388" i="2"/>
  <c r="AQ388" i="2"/>
  <c r="AP389" i="2"/>
  <c r="AQ389" i="2"/>
  <c r="AP390" i="2"/>
  <c r="AQ390" i="2"/>
  <c r="AP391" i="2"/>
  <c r="AQ391" i="2"/>
  <c r="AP392" i="2"/>
  <c r="AQ392" i="2"/>
  <c r="AP393" i="2"/>
  <c r="AQ393" i="2"/>
  <c r="AP394" i="2"/>
  <c r="AQ394" i="2"/>
  <c r="AP395" i="2"/>
  <c r="AQ395" i="2"/>
  <c r="AP396" i="2"/>
  <c r="AQ396" i="2"/>
  <c r="AP397" i="2"/>
  <c r="AQ397" i="2"/>
  <c r="AP398" i="2"/>
  <c r="AQ398" i="2"/>
  <c r="AP399" i="2"/>
  <c r="AQ399" i="2"/>
  <c r="AP400" i="2"/>
  <c r="AQ400" i="2"/>
  <c r="AP401" i="2"/>
  <c r="AQ401" i="2"/>
  <c r="AP402" i="2"/>
  <c r="AQ402" i="2"/>
  <c r="AP403" i="2"/>
  <c r="AQ403" i="2"/>
  <c r="AP404" i="2"/>
  <c r="AQ404" i="2"/>
  <c r="AP405" i="2"/>
  <c r="AQ405" i="2"/>
  <c r="AP406" i="2"/>
  <c r="AQ406" i="2"/>
  <c r="AP407" i="2"/>
  <c r="AQ407" i="2"/>
  <c r="AP408" i="2"/>
  <c r="AQ408" i="2"/>
  <c r="AP409" i="2"/>
  <c r="AQ409" i="2"/>
  <c r="AP410" i="2"/>
  <c r="AQ410" i="2"/>
  <c r="AP411" i="2"/>
  <c r="AQ411" i="2"/>
  <c r="AP412" i="2"/>
  <c r="AQ412" i="2"/>
  <c r="AP413" i="2"/>
  <c r="AQ413" i="2"/>
  <c r="AP414" i="2"/>
  <c r="AQ414" i="2"/>
  <c r="AP415" i="2"/>
  <c r="AQ415" i="2"/>
  <c r="AP416" i="2"/>
  <c r="AQ416" i="2"/>
  <c r="AP417" i="2"/>
  <c r="AQ417" i="2"/>
  <c r="AP418" i="2"/>
  <c r="AQ418" i="2"/>
  <c r="AP419" i="2"/>
  <c r="AQ419" i="2"/>
  <c r="AP420" i="2"/>
  <c r="AQ420" i="2"/>
  <c r="AP421" i="2"/>
  <c r="AQ421" i="2"/>
  <c r="AP422" i="2"/>
  <c r="AQ422" i="2"/>
  <c r="AP423" i="2"/>
  <c r="AQ423" i="2"/>
  <c r="AP424" i="2"/>
  <c r="AQ424" i="2"/>
  <c r="AP425" i="2"/>
  <c r="AQ425" i="2"/>
  <c r="AP426" i="2"/>
  <c r="AQ426" i="2"/>
  <c r="AP427" i="2"/>
  <c r="AQ427" i="2"/>
  <c r="AP428" i="2"/>
  <c r="AQ428" i="2"/>
  <c r="AP429" i="2"/>
  <c r="AQ429" i="2"/>
  <c r="AP430" i="2"/>
  <c r="AQ430" i="2"/>
  <c r="AP431" i="2"/>
  <c r="AQ431" i="2"/>
  <c r="AP432" i="2"/>
  <c r="AQ432" i="2"/>
  <c r="AP433" i="2"/>
  <c r="AQ433" i="2"/>
  <c r="AP434" i="2"/>
  <c r="AQ434" i="2"/>
  <c r="AP435" i="2"/>
  <c r="AQ435" i="2"/>
  <c r="AP436" i="2"/>
  <c r="AQ436" i="2"/>
  <c r="AP437" i="2"/>
  <c r="AQ437" i="2"/>
  <c r="AP438" i="2"/>
  <c r="AQ438" i="2"/>
  <c r="AP439" i="2"/>
  <c r="AQ439" i="2"/>
  <c r="AP440" i="2"/>
  <c r="AQ440" i="2"/>
  <c r="AP441" i="2"/>
  <c r="AQ441" i="2"/>
  <c r="AP442" i="2"/>
  <c r="AQ442" i="2"/>
  <c r="AP443" i="2"/>
  <c r="AQ443" i="2"/>
  <c r="AP444" i="2"/>
  <c r="AQ444" i="2"/>
  <c r="AP445" i="2"/>
  <c r="AQ445" i="2"/>
  <c r="AP446" i="2"/>
  <c r="AQ446" i="2"/>
  <c r="AP447" i="2"/>
  <c r="AQ447" i="2"/>
  <c r="AP448" i="2"/>
  <c r="AQ448" i="2"/>
  <c r="AP449" i="2"/>
  <c r="AQ449" i="2"/>
  <c r="AP450" i="2"/>
  <c r="AQ450" i="2"/>
  <c r="AP451" i="2"/>
  <c r="AQ451" i="2"/>
  <c r="AP452" i="2"/>
  <c r="AQ452" i="2"/>
  <c r="AP453" i="2"/>
  <c r="AQ453" i="2"/>
  <c r="AP454" i="2"/>
  <c r="AQ454" i="2"/>
  <c r="AP455" i="2"/>
  <c r="AQ455" i="2"/>
  <c r="AP456" i="2"/>
  <c r="AQ456" i="2"/>
  <c r="AP457" i="2"/>
  <c r="AQ457" i="2"/>
  <c r="AP458" i="2"/>
  <c r="AQ458" i="2"/>
  <c r="AP459" i="2"/>
  <c r="AQ459" i="2"/>
  <c r="AP460" i="2"/>
  <c r="AQ460" i="2"/>
  <c r="AP461" i="2"/>
  <c r="AQ461" i="2"/>
  <c r="AP462" i="2"/>
  <c r="AQ462" i="2"/>
  <c r="AP463" i="2"/>
  <c r="AQ463" i="2"/>
  <c r="AP464" i="2"/>
  <c r="AQ464" i="2"/>
  <c r="AP465" i="2"/>
  <c r="AQ465" i="2"/>
  <c r="AP466" i="2"/>
  <c r="AQ466" i="2"/>
  <c r="AP467" i="2"/>
  <c r="AQ467" i="2"/>
  <c r="AP468" i="2"/>
  <c r="AQ468" i="2"/>
  <c r="AP469" i="2"/>
  <c r="AQ469" i="2"/>
  <c r="AP470" i="2"/>
  <c r="AQ470" i="2"/>
  <c r="AP471" i="2"/>
  <c r="AQ471" i="2"/>
  <c r="AP472" i="2"/>
  <c r="AQ472" i="2"/>
  <c r="AP473" i="2"/>
  <c r="AQ473" i="2"/>
  <c r="AP474" i="2"/>
  <c r="AQ474" i="2"/>
  <c r="AP475" i="2"/>
  <c r="AQ475" i="2"/>
  <c r="AP476" i="2"/>
  <c r="AQ476" i="2"/>
  <c r="AP477" i="2"/>
  <c r="AQ477" i="2"/>
  <c r="AP478" i="2"/>
  <c r="AQ478" i="2"/>
  <c r="AP479" i="2"/>
  <c r="AQ479" i="2"/>
  <c r="AP480" i="2"/>
  <c r="AQ480" i="2"/>
  <c r="AP481" i="2"/>
  <c r="AQ481" i="2"/>
  <c r="AP482" i="2"/>
  <c r="AQ482" i="2"/>
  <c r="AP483" i="2"/>
  <c r="AQ483" i="2"/>
  <c r="AP484" i="2"/>
  <c r="AQ484" i="2"/>
  <c r="AP485" i="2"/>
  <c r="AQ485" i="2"/>
  <c r="AP486" i="2"/>
  <c r="AQ486" i="2"/>
  <c r="AP487" i="2"/>
  <c r="AQ487" i="2"/>
  <c r="AP488" i="2"/>
  <c r="AQ488" i="2"/>
  <c r="AP489" i="2"/>
  <c r="AQ489" i="2"/>
  <c r="AP490" i="2"/>
  <c r="AQ490" i="2"/>
  <c r="AP491" i="2"/>
  <c r="AQ491" i="2"/>
  <c r="AP492" i="2"/>
  <c r="AQ492" i="2"/>
  <c r="AP493" i="2"/>
  <c r="AQ493" i="2"/>
  <c r="AP494" i="2"/>
  <c r="AQ494" i="2"/>
  <c r="AP495" i="2"/>
  <c r="AQ495" i="2"/>
  <c r="AP496" i="2"/>
  <c r="AQ496" i="2"/>
  <c r="AP497" i="2"/>
  <c r="AQ497" i="2"/>
  <c r="AP498" i="2"/>
  <c r="AQ498" i="2"/>
  <c r="AP499" i="2"/>
  <c r="AQ499" i="2"/>
  <c r="AP500" i="2"/>
  <c r="AQ500" i="2"/>
  <c r="AP501" i="2"/>
  <c r="AQ501" i="2"/>
  <c r="AQ11" i="2"/>
  <c r="AW11" i="2"/>
  <c r="AX11" i="2"/>
  <c r="X11" i="2"/>
  <c r="AC11" i="2"/>
  <c r="X12" i="2"/>
  <c r="Z11" i="2"/>
  <c r="Z12" i="2"/>
  <c r="AO11" i="2"/>
  <c r="AB11" i="2"/>
  <c r="AK11" i="2"/>
  <c r="AB12" i="2"/>
  <c r="G158" i="5"/>
  <c r="E158" i="5"/>
  <c r="G156" i="5"/>
  <c r="E156" i="5"/>
  <c r="F151" i="5"/>
  <c r="D2" i="5"/>
  <c r="G165" i="5"/>
  <c r="D3" i="5"/>
  <c r="E161" i="5"/>
  <c r="D4" i="5"/>
  <c r="BG3" i="2"/>
  <c r="E160" i="5"/>
  <c r="D42" i="6"/>
</calcChain>
</file>

<file path=xl/comments1.xml><?xml version="1.0" encoding="utf-8"?>
<comments xmlns="http://schemas.openxmlformats.org/spreadsheetml/2006/main">
  <authors>
    <author>Hamilton Leite</author>
  </authors>
  <commentList>
    <comment ref="D68" authorId="0">
      <text>
        <r>
          <rPr>
            <sz val="9"/>
            <color indexed="81"/>
            <rFont val="Calibri"/>
            <family val="2"/>
          </rPr>
          <t xml:space="preserve">Ocorrem nos meses de Junho e Dezembro, a partir do sexto mês após o lançamento das vendas e a conclusão das obras.
</t>
        </r>
      </text>
    </comment>
    <comment ref="D69" authorId="0">
      <text>
        <r>
          <rPr>
            <sz val="9"/>
            <color indexed="81"/>
            <rFont val="Calibri"/>
            <family val="2"/>
          </rPr>
          <t xml:space="preserve">Ocorrem nos meses de Dezembro, a partir do sexto mês após o lançamento das vendas e a conclusão das obras.
</t>
        </r>
      </text>
    </comment>
    <comment ref="D100" authorId="0">
      <text>
        <r>
          <rPr>
            <sz val="9"/>
            <color indexed="81"/>
            <rFont val="Calibri"/>
            <family val="2"/>
          </rPr>
          <t xml:space="preserve">A quantidade de unidades vendidas por mês após a entrega das chaves é arredondada para um número inteiro até o penúltimo mês de vendas do estoque e o saldo das unidades em estoque à venda são alocadas no último mês de vendas após a entrega das chaves.
</t>
        </r>
      </text>
    </comment>
    <comment ref="D113" authorId="0">
      <text>
        <r>
          <rPr>
            <b/>
            <sz val="9"/>
            <color indexed="81"/>
            <rFont val="Calibri"/>
            <family val="2"/>
          </rPr>
          <t>Pago na data da liberação da primeira parcela do financia-mento para as obras</t>
        </r>
      </text>
    </comment>
  </commentList>
</comments>
</file>

<file path=xl/sharedStrings.xml><?xml version="1.0" encoding="utf-8"?>
<sst xmlns="http://schemas.openxmlformats.org/spreadsheetml/2006/main" count="716" uniqueCount="554">
  <si>
    <t>Condições de pagamento</t>
  </si>
  <si>
    <t>Prazo entre o Lançamento e Chaves</t>
  </si>
  <si>
    <t>por mês</t>
  </si>
  <si>
    <t>Após as obras</t>
  </si>
  <si>
    <t>Sinal</t>
  </si>
  <si>
    <t>OBRAS</t>
  </si>
  <si>
    <t>DESPESAS PRÉ  OPERACIONAIS</t>
  </si>
  <si>
    <t>ao ano</t>
  </si>
  <si>
    <t>M</t>
  </si>
  <si>
    <t>PROJETO</t>
  </si>
  <si>
    <t>CENÁRIO ECONÔMICO</t>
  </si>
  <si>
    <t>TERRENO</t>
  </si>
  <si>
    <t>Número total de unidades</t>
  </si>
  <si>
    <t>Mês do pagamento da outorga</t>
  </si>
  <si>
    <t>Despesas com a transferência do terreno</t>
  </si>
  <si>
    <t>Número total de unidades Tipo 3</t>
  </si>
  <si>
    <t>Nº de unidades permutadas Tipo 1</t>
  </si>
  <si>
    <t>Nº de unidades permutadas Tipo 2</t>
  </si>
  <si>
    <t>Nº de unidades permutadas Tipo 3</t>
  </si>
  <si>
    <t>Valor de venda por unidade Tipo 3</t>
  </si>
  <si>
    <t>Valor de venda por unidade Tipo 2</t>
  </si>
  <si>
    <t>Valor de venda por unidade Tipo 1</t>
  </si>
  <si>
    <t>TABELA DE VENDAS</t>
  </si>
  <si>
    <t xml:space="preserve"> Endereço: </t>
  </si>
  <si>
    <r>
      <t xml:space="preserve"> m</t>
    </r>
    <r>
      <rPr>
        <vertAlign val="superscript"/>
        <sz val="12"/>
        <color rgb="FF000000"/>
        <rFont val="Calibri"/>
        <scheme val="minor"/>
      </rPr>
      <t>2</t>
    </r>
  </si>
  <si>
    <t>Área Privativa por unidade Tipo 2</t>
  </si>
  <si>
    <t>Área Privativa por unidade Tipo 3</t>
  </si>
  <si>
    <t>VELOCIDADE DE VENDAS</t>
  </si>
  <si>
    <t>Área Privativa MÉDIA</t>
  </si>
  <si>
    <t>Valor de venda do Tipo 2</t>
  </si>
  <si>
    <t>Valor de venda do Tipo 3</t>
  </si>
  <si>
    <t>Corretagem</t>
  </si>
  <si>
    <t>Valor da Outorga Onerosa</t>
  </si>
  <si>
    <t xml:space="preserve">Nome do Empreendimento: </t>
  </si>
  <si>
    <t>unidades</t>
  </si>
  <si>
    <t>ntu</t>
  </si>
  <si>
    <t>unidade(s)</t>
  </si>
  <si>
    <t>Valor total do terreno (V.T.T.)</t>
  </si>
  <si>
    <t>Percentual</t>
  </si>
  <si>
    <r>
      <rPr>
        <b/>
        <sz val="12"/>
        <rFont val="Calibri"/>
        <scheme val="minor"/>
      </rPr>
      <t>TOTAL</t>
    </r>
    <r>
      <rPr>
        <sz val="12"/>
        <color theme="1"/>
        <rFont val="Calibri"/>
        <family val="2"/>
        <charset val="128"/>
        <scheme val="minor"/>
      </rPr>
      <t xml:space="preserve"> recebido até as Chaves (inclusive)</t>
    </r>
  </si>
  <si>
    <t>vgv</t>
  </si>
  <si>
    <t>Custo da Obra (atualização pelo INCC)</t>
  </si>
  <si>
    <t>Prazo de Obra</t>
  </si>
  <si>
    <t>Mês</t>
  </si>
  <si>
    <t>Despesas Juridicas + Reg. da Incorporação</t>
  </si>
  <si>
    <t>Meses em relação ao</t>
  </si>
  <si>
    <t>N° de</t>
  </si>
  <si>
    <t>Administração da Incorporação e da SPE</t>
  </si>
  <si>
    <t>Cobrança de Juros</t>
  </si>
  <si>
    <t>Unidades</t>
  </si>
  <si>
    <t>RESULTADOS</t>
  </si>
  <si>
    <t>ANÁLISE ESTÁTICA</t>
  </si>
  <si>
    <t>ANÁLISE DINÂMICA</t>
  </si>
  <si>
    <t xml:space="preserve">  (dinheiro + permutas)</t>
  </si>
  <si>
    <r>
      <t xml:space="preserve">Valor de venda do Tipo 1 </t>
    </r>
    <r>
      <rPr>
        <sz val="12"/>
        <color rgb="FFFF0000"/>
        <rFont val="Calibri"/>
        <family val="2"/>
        <scheme val="minor"/>
      </rPr>
      <t>*</t>
    </r>
  </si>
  <si>
    <t>lançamento :</t>
  </si>
  <si>
    <t>Taxa de juros de financiamento p/ obras</t>
  </si>
  <si>
    <t>Total de juros do financ. para as obras</t>
  </si>
  <si>
    <t>Valor Financiado +  Juros</t>
  </si>
  <si>
    <t>FINANCIAMENTO PARA AS OBRAS</t>
  </si>
  <si>
    <t>cto</t>
  </si>
  <si>
    <t>igpm</t>
  </si>
  <si>
    <t>incc</t>
  </si>
  <si>
    <t>cop</t>
  </si>
  <si>
    <t>tma</t>
  </si>
  <si>
    <r>
      <t xml:space="preserve">No mês do lançamento </t>
    </r>
    <r>
      <rPr>
        <sz val="12"/>
        <color rgb="FFFF0000"/>
        <rFont val="Calibri"/>
        <family val="2"/>
        <scheme val="minor"/>
      </rPr>
      <t xml:space="preserve">* </t>
    </r>
  </si>
  <si>
    <r>
      <t xml:space="preserve">Entre o lançamento e o inicio das obras </t>
    </r>
    <r>
      <rPr>
        <sz val="12"/>
        <color rgb="FFFF0000"/>
        <rFont val="Calibri"/>
        <family val="2"/>
        <scheme val="minor"/>
      </rPr>
      <t>*</t>
    </r>
  </si>
  <si>
    <r>
      <t xml:space="preserve">Durante 1º terço das obras </t>
    </r>
    <r>
      <rPr>
        <sz val="12"/>
        <color rgb="FFFF0000"/>
        <rFont val="Calibri"/>
        <family val="2"/>
        <scheme val="minor"/>
      </rPr>
      <t xml:space="preserve">* </t>
    </r>
  </si>
  <si>
    <r>
      <t xml:space="preserve">Durante 2º terço das obras </t>
    </r>
    <r>
      <rPr>
        <sz val="12"/>
        <color rgb="FFFF0000"/>
        <rFont val="Calibri"/>
        <family val="2"/>
        <scheme val="minor"/>
      </rPr>
      <t>*</t>
    </r>
  </si>
  <si>
    <r>
      <t xml:space="preserve">Durante 3º terço das obras </t>
    </r>
    <r>
      <rPr>
        <sz val="12"/>
        <color rgb="FFFF0000"/>
        <rFont val="Calibri"/>
        <family val="2"/>
        <scheme val="minor"/>
      </rPr>
      <t>*</t>
    </r>
  </si>
  <si>
    <t>corr</t>
  </si>
  <si>
    <t>imp</t>
  </si>
  <si>
    <t>adm</t>
  </si>
  <si>
    <t>sinal</t>
  </si>
  <si>
    <t>sem</t>
  </si>
  <si>
    <t>anu</t>
  </si>
  <si>
    <t>cha</t>
  </si>
  <si>
    <t>pos</t>
  </si>
  <si>
    <t>mio</t>
  </si>
  <si>
    <t>prazo</t>
  </si>
  <si>
    <t>vtt</t>
  </si>
  <si>
    <t>voo</t>
  </si>
  <si>
    <t>mpo</t>
  </si>
  <si>
    <t>vtd</t>
  </si>
  <si>
    <t>mpt</t>
  </si>
  <si>
    <t>npt</t>
  </si>
  <si>
    <t>mlan</t>
  </si>
  <si>
    <t>ppe</t>
  </si>
  <si>
    <t>ppm</t>
  </si>
  <si>
    <t>mppe</t>
  </si>
  <si>
    <t>mppm</t>
  </si>
  <si>
    <t>jfo</t>
  </si>
  <si>
    <t>vfo</t>
  </si>
  <si>
    <t>pmo</t>
  </si>
  <si>
    <t>cjfo</t>
  </si>
  <si>
    <t>mpfo</t>
  </si>
  <si>
    <t>Valor de venda médio</t>
  </si>
  <si>
    <t>vvm</t>
  </si>
  <si>
    <t>tcfo</t>
  </si>
  <si>
    <t>mbase</t>
  </si>
  <si>
    <t xml:space="preserve"> mês base :</t>
  </si>
  <si>
    <t>mes(es) a partir do mês base &gt;</t>
  </si>
  <si>
    <t>Valor Geral de Vendas (VGV)</t>
  </si>
  <si>
    <t>TIR</t>
  </si>
  <si>
    <t>sobre V.G.V.</t>
  </si>
  <si>
    <t>ao mês</t>
  </si>
  <si>
    <t>MOVI-</t>
  </si>
  <si>
    <t>FLUXO</t>
  </si>
  <si>
    <t>INVES-</t>
  </si>
  <si>
    <t>FINANCIAMENTO P/ PRODUÇÃO</t>
  </si>
  <si>
    <t>DESPE-</t>
  </si>
  <si>
    <t>PRÉ OPERACIONAIS</t>
  </si>
  <si>
    <t>OBRA</t>
  </si>
  <si>
    <t>TOTAL</t>
  </si>
  <si>
    <t>MENTO</t>
  </si>
  <si>
    <t>DE</t>
  </si>
  <si>
    <t>TIMEN-</t>
  </si>
  <si>
    <t>SALDO</t>
  </si>
  <si>
    <t>PAGtos.</t>
  </si>
  <si>
    <t>PROJE-</t>
  </si>
  <si>
    <t xml:space="preserve"> % NO</t>
  </si>
  <si>
    <t>VALOR</t>
  </si>
  <si>
    <t>SINAL</t>
  </si>
  <si>
    <t>mensais</t>
  </si>
  <si>
    <t>MENSAIS</t>
  </si>
  <si>
    <t>SEMES-</t>
  </si>
  <si>
    <t>ANU-</t>
  </si>
  <si>
    <t>CHA-</t>
  </si>
  <si>
    <t>NO</t>
  </si>
  <si>
    <t>CAIXA</t>
  </si>
  <si>
    <t>TOS</t>
  </si>
  <si>
    <t>ANTES</t>
  </si>
  <si>
    <t>DOS</t>
  </si>
  <si>
    <t>APÓS OS</t>
  </si>
  <si>
    <t>DE Cx.</t>
  </si>
  <si>
    <t>APÓS</t>
  </si>
  <si>
    <t>CAS</t>
  </si>
  <si>
    <t>MÊS</t>
  </si>
  <si>
    <t>NO MÊS</t>
  </si>
  <si>
    <t>obra</t>
  </si>
  <si>
    <t>pos chaves</t>
  </si>
  <si>
    <t>TRAIS</t>
  </si>
  <si>
    <t>AIS</t>
  </si>
  <si>
    <t>VES</t>
  </si>
  <si>
    <t>ACUM.</t>
  </si>
  <si>
    <t>S/ FINANC.</t>
  </si>
  <si>
    <t>JUROS</t>
  </si>
  <si>
    <t>INVEST.</t>
  </si>
  <si>
    <t>TOTAIS</t>
  </si>
  <si>
    <t>Mes</t>
  </si>
  <si>
    <t>mês</t>
  </si>
  <si>
    <t>EVENTO</t>
  </si>
  <si>
    <t>Inv. Pronto</t>
  </si>
  <si>
    <t>Payback</t>
  </si>
  <si>
    <t>anos</t>
  </si>
  <si>
    <t>meses</t>
  </si>
  <si>
    <t>Valor</t>
  </si>
  <si>
    <t>parcel.</t>
  </si>
  <si>
    <t>sobre V.T.T.</t>
  </si>
  <si>
    <t>no período</t>
  </si>
  <si>
    <t>Inicial</t>
  </si>
  <si>
    <t xml:space="preserve">do C.T.O. </t>
  </si>
  <si>
    <t>do V.F.O.</t>
  </si>
  <si>
    <t>das unidades não permutadas =</t>
  </si>
  <si>
    <t>meses a partir das chaves   -&gt;</t>
  </si>
  <si>
    <t>sobre Custos e Despesas</t>
  </si>
  <si>
    <t>Data   :</t>
  </si>
  <si>
    <t>meses a partir do mês base</t>
  </si>
  <si>
    <t>N° de meses</t>
  </si>
  <si>
    <t>acumulado</t>
  </si>
  <si>
    <t>N° total de unidades disponíveis para venda:</t>
  </si>
  <si>
    <t>Valor da parcela</t>
  </si>
  <si>
    <t>(Tipo 1)</t>
  </si>
  <si>
    <t>Valor Total</t>
  </si>
  <si>
    <t>Nº de</t>
  </si>
  <si>
    <t>parcelas</t>
  </si>
  <si>
    <t>meses após o término da obra -&gt;</t>
  </si>
  <si>
    <t>meses a partir do lançamento  -&gt;</t>
  </si>
  <si>
    <r>
      <t>por 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de área privativa</t>
    </r>
  </si>
  <si>
    <t>Tx. juros (ao ano) :</t>
  </si>
  <si>
    <t>PAYBACK</t>
  </si>
  <si>
    <t>outorga</t>
  </si>
  <si>
    <t>Mês 12</t>
  </si>
  <si>
    <t>RETORNOS</t>
  </si>
  <si>
    <t>I.P.;Retornos</t>
  </si>
  <si>
    <t>ip</t>
  </si>
  <si>
    <t>VPLi</t>
  </si>
  <si>
    <t>VPLr</t>
  </si>
  <si>
    <t>VPLd</t>
  </si>
  <si>
    <t>VPLv</t>
  </si>
  <si>
    <t>SAS COM</t>
  </si>
  <si>
    <t>JURÍDI-</t>
  </si>
  <si>
    <t xml:space="preserve">ao ano </t>
  </si>
  <si>
    <t>atc</t>
  </si>
  <si>
    <t>dtt</t>
  </si>
  <si>
    <t>jfb</t>
  </si>
  <si>
    <t>jfd</t>
  </si>
  <si>
    <t>teo</t>
  </si>
  <si>
    <t>atp</t>
  </si>
  <si>
    <t>apm</t>
  </si>
  <si>
    <t>uvl</t>
  </si>
  <si>
    <t>uval</t>
  </si>
  <si>
    <t>uvpt</t>
  </si>
  <si>
    <t>uvst</t>
  </si>
  <si>
    <t>uvtt</t>
  </si>
  <si>
    <t>uvao</t>
  </si>
  <si>
    <t>ntup</t>
  </si>
  <si>
    <t>mdo</t>
  </si>
  <si>
    <t>mec</t>
  </si>
  <si>
    <t>npm</t>
  </si>
  <si>
    <t>npa</t>
  </si>
  <si>
    <t>npc</t>
  </si>
  <si>
    <t>npfb</t>
  </si>
  <si>
    <t>npfd</t>
  </si>
  <si>
    <t>npse</t>
  </si>
  <si>
    <t>npsi</t>
  </si>
  <si>
    <t>dji</t>
  </si>
  <si>
    <t>mdji</t>
  </si>
  <si>
    <t>nurb</t>
  </si>
  <si>
    <t>vrfb</t>
  </si>
  <si>
    <t>Total de unidades permutadas</t>
  </si>
  <si>
    <t xml:space="preserve"> % do</t>
  </si>
  <si>
    <t>V.T.T.</t>
  </si>
  <si>
    <t>Permutada</t>
  </si>
  <si>
    <r>
      <t>Valor do terreno (R$/m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charset val="128"/>
        <scheme val="minor"/>
      </rPr>
      <t>)</t>
    </r>
  </si>
  <si>
    <t>meses em relação ao lançamento</t>
  </si>
  <si>
    <t xml:space="preserve"> % da</t>
  </si>
  <si>
    <t>A.T.P.</t>
  </si>
  <si>
    <t>Área Total Privativa (A.T.P.)</t>
  </si>
  <si>
    <t>unids. permutadas</t>
  </si>
  <si>
    <t>Valor total das</t>
  </si>
  <si>
    <r>
      <t>A.T.P. (m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charset val="128"/>
        <scheme val="minor"/>
      </rPr>
      <t>)</t>
    </r>
  </si>
  <si>
    <t>Propaganda, Promoção e MKT</t>
  </si>
  <si>
    <t xml:space="preserve"> % / VGV</t>
  </si>
  <si>
    <t>Correção das parcelas do terreno</t>
  </si>
  <si>
    <t>SC</t>
  </si>
  <si>
    <t>IGPM</t>
  </si>
  <si>
    <t>INCC</t>
  </si>
  <si>
    <t xml:space="preserve">Correção monetária das parcelas (Sem Correção=SC) : </t>
  </si>
  <si>
    <t>cmt</t>
  </si>
  <si>
    <t>corr INCC</t>
  </si>
  <si>
    <t>Sem corr</t>
  </si>
  <si>
    <r>
      <t xml:space="preserve">Mês do pagto. do sinal (ou Valor Total) </t>
    </r>
    <r>
      <rPr>
        <sz val="12"/>
        <color rgb="FFFF0000"/>
        <rFont val="Calibri"/>
        <family val="2"/>
        <scheme val="minor"/>
      </rPr>
      <t xml:space="preserve">* </t>
    </r>
  </si>
  <si>
    <t>do total pago em dinheiro</t>
  </si>
  <si>
    <t xml:space="preserve"> ou</t>
  </si>
  <si>
    <t>Nº de parcelas mensais iguais após o sinal</t>
  </si>
  <si>
    <t>vst</t>
  </si>
  <si>
    <t>Delta</t>
  </si>
  <si>
    <t>meses após o pagamento do sinal</t>
  </si>
  <si>
    <t>Mês do pag. das desp. c/ transf. do terreno</t>
  </si>
  <si>
    <t>mpdt</t>
  </si>
  <si>
    <t>npdji</t>
  </si>
  <si>
    <t>npppe</t>
  </si>
  <si>
    <t>npppm</t>
  </si>
  <si>
    <t>Tabela de Patamares de Produção</t>
  </si>
  <si>
    <t>tabpat</t>
  </si>
  <si>
    <t>mês inicial</t>
  </si>
  <si>
    <t>mês final</t>
  </si>
  <si>
    <t>patamar</t>
  </si>
  <si>
    <t>duração</t>
  </si>
  <si>
    <t>Patamar do 1º terço das obras</t>
  </si>
  <si>
    <t>Patamar do 2º terço das obras</t>
  </si>
  <si>
    <t>Patamar do 3º terço das obras</t>
  </si>
  <si>
    <t>prod no mês</t>
  </si>
  <si>
    <t>Mês Inicial</t>
  </si>
  <si>
    <t>Mês Final</t>
  </si>
  <si>
    <t>Duração</t>
  </si>
  <si>
    <t>Unids. Vendidas no mês</t>
  </si>
  <si>
    <t>tabvv</t>
  </si>
  <si>
    <t>pcorr</t>
  </si>
  <si>
    <t>pimp</t>
  </si>
  <si>
    <t>padm</t>
  </si>
  <si>
    <t>Impostos</t>
  </si>
  <si>
    <t>sobre VGV (paga no mês do recebimento do sinal)</t>
  </si>
  <si>
    <t>sobre VGV (incorridos sobre os valores das receitas)</t>
  </si>
  <si>
    <t xml:space="preserve">   (Valores de venda das unidades permutadas não incluídos)</t>
  </si>
  <si>
    <r>
      <t xml:space="preserve">Mês da entrega das Chaves (Habite-se) </t>
    </r>
    <r>
      <rPr>
        <sz val="12"/>
        <color rgb="FFFF0000"/>
        <rFont val="Calibri"/>
        <family val="2"/>
        <scheme val="minor"/>
      </rPr>
      <t xml:space="preserve">* </t>
    </r>
  </si>
  <si>
    <t>sobre VGV (do mês 1 até 6 meses após o Habite-se)</t>
  </si>
  <si>
    <t>Chaves (no mês do Habite-se)</t>
  </si>
  <si>
    <t>até fim obra</t>
  </si>
  <si>
    <t>Anuais pagas</t>
  </si>
  <si>
    <t>Acumulado</t>
  </si>
  <si>
    <t>mco</t>
  </si>
  <si>
    <t>Meses 12</t>
  </si>
  <si>
    <t>e 6</t>
  </si>
  <si>
    <t>Semestrais pgs</t>
  </si>
  <si>
    <t xml:space="preserve">Semestrais </t>
  </si>
  <si>
    <t>Unidades financiadas pelo Incorporador</t>
  </si>
  <si>
    <t>Mensais (entre lançamento e Chaves)</t>
  </si>
  <si>
    <t>Últmo mês de vendas após as obras</t>
  </si>
  <si>
    <t>pmtfb</t>
  </si>
  <si>
    <t>pmtfd</t>
  </si>
  <si>
    <t>nufd</t>
  </si>
  <si>
    <t>parc semestr</t>
  </si>
  <si>
    <t>parc anual</t>
  </si>
  <si>
    <t>parc mensal</t>
  </si>
  <si>
    <t>incorporada ao sinal</t>
  </si>
  <si>
    <t>vtpm</t>
  </si>
  <si>
    <t>REPASSES</t>
  </si>
  <si>
    <t>Mês do pagto. do financ. p/ obra e repasses</t>
  </si>
  <si>
    <t>ntudv</t>
  </si>
  <si>
    <t xml:space="preserve">      "       "</t>
  </si>
  <si>
    <t>pmv</t>
  </si>
  <si>
    <r>
      <t xml:space="preserve">% mínimo de </t>
    </r>
    <r>
      <rPr>
        <u/>
        <sz val="12"/>
        <color theme="1"/>
        <rFont val="Calibri"/>
        <scheme val="minor"/>
      </rPr>
      <t>obra</t>
    </r>
    <r>
      <rPr>
        <sz val="12"/>
        <color theme="1"/>
        <rFont val="Calibri"/>
        <family val="2"/>
        <charset val="128"/>
        <scheme val="minor"/>
      </rPr>
      <t>s p/ início das liberações</t>
    </r>
  </si>
  <si>
    <r>
      <t xml:space="preserve">% mínimo de </t>
    </r>
    <r>
      <rPr>
        <u/>
        <sz val="12"/>
        <color theme="1"/>
        <rFont val="Calibri"/>
        <scheme val="minor"/>
      </rPr>
      <t>vendas</t>
    </r>
    <r>
      <rPr>
        <sz val="12"/>
        <color theme="1"/>
        <rFont val="Calibri"/>
        <family val="2"/>
        <charset val="128"/>
        <scheme val="minor"/>
      </rPr>
      <t xml:space="preserve"> p/ início das liberações</t>
    </r>
  </si>
  <si>
    <t>AMORTIZAÇÃO</t>
  </si>
  <si>
    <t>do PRINCIPAL</t>
  </si>
  <si>
    <t>e pgto. da TEO</t>
  </si>
  <si>
    <t>Mês base do contrato de financ. p/ obra</t>
  </si>
  <si>
    <r>
      <t xml:space="preserve">meses em relação ao </t>
    </r>
    <r>
      <rPr>
        <sz val="12"/>
        <color rgb="FFFF0000"/>
        <rFont val="Calibri"/>
        <family val="2"/>
        <scheme val="minor"/>
      </rPr>
      <t>MIO</t>
    </r>
    <r>
      <rPr>
        <sz val="12"/>
        <color theme="1"/>
        <rFont val="Calibri"/>
        <family val="2"/>
        <charset val="128"/>
        <scheme val="minor"/>
      </rPr>
      <t xml:space="preserve">  -&gt;</t>
    </r>
  </si>
  <si>
    <t>mbfo</t>
  </si>
  <si>
    <t>Mês da 1a. liberação do financ. p/ obra</t>
  </si>
  <si>
    <t>mín obra</t>
  </si>
  <si>
    <t>mín vendas</t>
  </si>
  <si>
    <t>mês após</t>
  </si>
  <si>
    <t>mplfo</t>
  </si>
  <si>
    <t>precentual de</t>
  </si>
  <si>
    <t>liberação</t>
  </si>
  <si>
    <t xml:space="preserve"> %</t>
  </si>
  <si>
    <t>VALOR LIBERA-</t>
  </si>
  <si>
    <t>Deflacionado</t>
  </si>
  <si>
    <t>Valor total pago em dinheiro pelo terreno</t>
  </si>
  <si>
    <t>TIR Restrita</t>
  </si>
  <si>
    <t xml:space="preserve"> + DESPESAS</t>
  </si>
  <si>
    <t xml:space="preserve"> + OUTORGA</t>
  </si>
  <si>
    <t>TIR (Taxa Interna de Retorno)</t>
  </si>
  <si>
    <t>VENDIDAS</t>
  </si>
  <si>
    <t xml:space="preserve"> DO (OBRA +TEO)</t>
  </si>
  <si>
    <t>Correção do Financiamento para a Obra</t>
  </si>
  <si>
    <t>TR</t>
  </si>
  <si>
    <r>
      <t xml:space="preserve">Taxa Referencial (TR) </t>
    </r>
    <r>
      <rPr>
        <sz val="12"/>
        <color rgb="FFFF0000"/>
        <rFont val="Calibri"/>
        <family val="2"/>
        <scheme val="minor"/>
      </rPr>
      <t>*</t>
    </r>
  </si>
  <si>
    <t>IGP-M</t>
  </si>
  <si>
    <t>Sem Correção</t>
  </si>
  <si>
    <t>ao mês     &lt;--&gt;</t>
  </si>
  <si>
    <t>P</t>
  </si>
  <si>
    <t>(M=mensal ou P=no mês do pagamento do principal)</t>
  </si>
  <si>
    <t>/mês (juros incluídos)</t>
  </si>
  <si>
    <t>meses de prazo  -&gt;  Conclusão em:</t>
  </si>
  <si>
    <t>&lt;--&gt;</t>
  </si>
  <si>
    <t>INVESTIMENTOS</t>
  </si>
  <si>
    <t>TEO</t>
  </si>
  <si>
    <t>Correção monetária do fin. p/ obras (CMF)</t>
  </si>
  <si>
    <r>
      <t>Valor do financ. para as obras</t>
    </r>
    <r>
      <rPr>
        <sz val="12"/>
        <color theme="1"/>
        <rFont val="Calibri"/>
        <family val="2"/>
        <charset val="128"/>
        <scheme val="minor"/>
      </rPr>
      <t xml:space="preserve"> (VFO)</t>
    </r>
    <r>
      <rPr>
        <sz val="12"/>
        <color rgb="FFFF0000"/>
        <rFont val="Calibri"/>
        <family val="2"/>
        <scheme val="minor"/>
      </rPr>
      <t xml:space="preserve"> * </t>
    </r>
  </si>
  <si>
    <t>Taxa de Estruturação da Operação (TEO)</t>
  </si>
  <si>
    <t>Observações:</t>
  </si>
  <si>
    <t>IMPOSTOS</t>
  </si>
  <si>
    <t>ADMINIS-</t>
  </si>
  <si>
    <t>TRAÇÃO</t>
  </si>
  <si>
    <t>CORRE-</t>
  </si>
  <si>
    <t>TAGEM</t>
  </si>
  <si>
    <t>PROPA-</t>
  </si>
  <si>
    <t>GANDA</t>
  </si>
  <si>
    <t xml:space="preserve">N° DE </t>
  </si>
  <si>
    <t>UNIDS.</t>
  </si>
  <si>
    <t xml:space="preserve">DATA: </t>
  </si>
  <si>
    <t xml:space="preserve">       FLUXO DE MOVIMENTAÇÕES FINANCEIRAS NO EMPREENDIMENTO : </t>
  </si>
  <si>
    <t xml:space="preserve">Empresa: </t>
  </si>
  <si>
    <t>www.hamiltonleite.com.br</t>
  </si>
  <si>
    <t xml:space="preserve">     Obs.: os valores das parcelas mensais, semestrais e anuais que tenham data de pagamento anterior ao mês da venda das unidades comercializadas após o mês de lançamento, conforme definido no quadro "Velocidade de Vendas" abaixo, são incorporados proporcionalmente ao valor do sinal de cada nova unidade vendida após o mês de lançamento.</t>
  </si>
  <si>
    <r>
      <rPr>
        <sz val="8"/>
        <color theme="0" tint="-0.34998626667073579"/>
        <rFont val="Calibri"/>
        <scheme val="minor"/>
      </rPr>
      <t>www.hamiltonleite.com.br</t>
    </r>
    <r>
      <rPr>
        <b/>
        <sz val="12"/>
        <color theme="1"/>
        <rFont val="Calibri"/>
        <family val="2"/>
        <scheme val="minor"/>
      </rPr>
      <t xml:space="preserve">         RESULTADO </t>
    </r>
  </si>
  <si>
    <t>hamiltonleite.com.br</t>
  </si>
  <si>
    <t xml:space="preserve"> &lt;--&gt;</t>
  </si>
  <si>
    <t>do valor investido</t>
  </si>
  <si>
    <r>
      <t xml:space="preserve">Financiamento </t>
    </r>
    <r>
      <rPr>
        <b/>
        <u/>
        <sz val="12"/>
        <color rgb="FFFF0000"/>
        <rFont val="Calibri"/>
        <scheme val="minor"/>
      </rPr>
      <t>bancário ao cliente</t>
    </r>
    <r>
      <rPr>
        <sz val="12"/>
        <color theme="1"/>
        <rFont val="Calibri"/>
        <family val="2"/>
        <charset val="128"/>
        <scheme val="minor"/>
      </rPr>
      <t xml:space="preserve"> (P.C.)</t>
    </r>
  </si>
  <si>
    <r>
      <t xml:space="preserve">Financiamento </t>
    </r>
    <r>
      <rPr>
        <b/>
        <u/>
        <sz val="12"/>
        <color rgb="FFFF0000"/>
        <rFont val="Calibri"/>
        <scheme val="minor"/>
      </rPr>
      <t>direto ao cliente</t>
    </r>
    <r>
      <rPr>
        <sz val="12"/>
        <color theme="1"/>
        <rFont val="Calibri"/>
        <family val="2"/>
        <charset val="128"/>
        <scheme val="minor"/>
      </rPr>
      <t xml:space="preserve"> (P.C.) </t>
    </r>
  </si>
  <si>
    <t>Total de Repasses de Financiamento Bancário</t>
  </si>
  <si>
    <t>TIR (ao ano)</t>
  </si>
  <si>
    <t>Resultado Estático</t>
  </si>
  <si>
    <t>Resultado Dinâmico</t>
  </si>
  <si>
    <t>de Empreendimentos Imobiliários</t>
  </si>
  <si>
    <t xml:space="preserve">VPL Ret./VPL Inv. </t>
  </si>
  <si>
    <t>TR Restrita (investimentos à valor presente)</t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</si>
  <si>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charset val="128"/>
        <scheme val="minor"/>
      </rPr>
      <t xml:space="preserve"> Preenchimento obrigatório</t>
    </r>
  </si>
  <si>
    <r>
      <t>Mês Base da Análise (mês zero):</t>
    </r>
    <r>
      <rPr>
        <sz val="12"/>
        <color rgb="FFFF0000"/>
        <rFont val="Calibri"/>
        <family val="2"/>
        <scheme val="minor"/>
      </rPr>
      <t xml:space="preserve"> * </t>
    </r>
  </si>
  <si>
    <t xml:space="preserve">   Inserir dados nas células em amarelo</t>
  </si>
  <si>
    <t>Prin-cipais Resul-tados</t>
  </si>
  <si>
    <t>Percentual Mínimo de Obras e Vendas</t>
  </si>
  <si>
    <t xml:space="preserve">No mês do lançamento * </t>
  </si>
  <si>
    <t>Entre o lançamento e o inicio das obras *</t>
  </si>
  <si>
    <t xml:space="preserve">Durante 1º terço das obras * </t>
  </si>
  <si>
    <t>Durante 2º terço das obras *</t>
  </si>
  <si>
    <t>Durante 3º terço das obras *</t>
  </si>
  <si>
    <t>Mês de lançamento (início das vendas) *</t>
  </si>
  <si>
    <t>VPL Receitas / VPL Despesas -1</t>
  </si>
  <si>
    <t>VPL Retorno / VPL Investimento -1</t>
  </si>
  <si>
    <t>Área de terreno</t>
  </si>
  <si>
    <t>m2</t>
  </si>
  <si>
    <t>At</t>
  </si>
  <si>
    <t>Área construída computável total pretendida</t>
  </si>
  <si>
    <t>Ac</t>
  </si>
  <si>
    <t>Número de torres</t>
  </si>
  <si>
    <t>Área comum por pavimento tipo</t>
  </si>
  <si>
    <t>Área por torre para barrilete/casa de máquinas</t>
  </si>
  <si>
    <t>Total de unidades no térreo do empreendimento</t>
  </si>
  <si>
    <t>Vaga(s) por unidade</t>
  </si>
  <si>
    <t>Total de vagas para automóveis descobertas</t>
  </si>
  <si>
    <t>Área por vaga (inclusive para circulação)</t>
  </si>
  <si>
    <t>Área em subsolo para garagens</t>
  </si>
  <si>
    <t>Área privativa por unidade tipo</t>
  </si>
  <si>
    <t>Área de terraço não computável por pavimento tipo</t>
  </si>
  <si>
    <t>Número de unidades por pavimento tipo</t>
  </si>
  <si>
    <t>Área total privativa do empreendimento</t>
  </si>
  <si>
    <t>Número de pavimentos por torre (acima do térreo)</t>
  </si>
  <si>
    <t>Computável</t>
  </si>
  <si>
    <t>N. Computável</t>
  </si>
  <si>
    <t>Total</t>
  </si>
  <si>
    <t>Pavimento Tipo</t>
  </si>
  <si>
    <t>Barrilete/casa de máquinas</t>
  </si>
  <si>
    <t>Área da laje do pavimento tipo (sem terraços)</t>
  </si>
  <si>
    <t>Número total de unidades do empreendimento</t>
  </si>
  <si>
    <t>Total de vagas no empreendimento</t>
  </si>
  <si>
    <t>Totais</t>
  </si>
  <si>
    <t>* Portaria e outras áreas cobertas fora da proj. do pav. tipo</t>
  </si>
  <si>
    <t>QUADRO DE ÁREAS</t>
  </si>
  <si>
    <t>Coeficiente de aproveitamento básico</t>
  </si>
  <si>
    <t>CAb</t>
  </si>
  <si>
    <t>CAm</t>
  </si>
  <si>
    <t>Coeficiente de aproveitamento máximo (ou adotado)</t>
  </si>
  <si>
    <t>Área total para vagas cobertas</t>
  </si>
  <si>
    <t>Área total para vagas descobertas</t>
  </si>
  <si>
    <t>Dados para cálculo do Quadro de Áreas</t>
  </si>
  <si>
    <t>Área disponível p/ vagas (terreno - proj. torres, portaria e lazer)</t>
  </si>
  <si>
    <t>Investimento (Nominal)</t>
  </si>
  <si>
    <r>
      <t>Resultado Dinâmico (Retorno - Investimento</t>
    </r>
    <r>
      <rPr>
        <vertAlign val="subscript"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charset val="128"/>
        <scheme val="minor"/>
      </rPr>
      <t>)</t>
    </r>
  </si>
  <si>
    <r>
      <t>Investimento</t>
    </r>
    <r>
      <rPr>
        <vertAlign val="subscript"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charset val="128"/>
        <scheme val="minor"/>
      </rPr>
      <t xml:space="preserve"> (Nominal)</t>
    </r>
  </si>
  <si>
    <r>
      <t>Investimento</t>
    </r>
    <r>
      <rPr>
        <vertAlign val="subscript"/>
        <sz val="12"/>
        <color theme="1"/>
        <rFont val="Calibri"/>
        <scheme val="minor"/>
      </rPr>
      <t>vp</t>
    </r>
    <r>
      <rPr>
        <sz val="12"/>
        <color theme="1"/>
        <rFont val="Calibri"/>
        <family val="2"/>
        <charset val="128"/>
        <scheme val="minor"/>
      </rPr>
      <t xml:space="preserve"> (Valor Presente)</t>
    </r>
  </si>
  <si>
    <t>Área construída adicional (necessário pagar outorga onerosa)</t>
  </si>
  <si>
    <t>Sigla</t>
  </si>
  <si>
    <t>Área descoberta destinada à equipamentos de lazer</t>
  </si>
  <si>
    <t>Térreo</t>
  </si>
  <si>
    <t>Descrição</t>
  </si>
  <si>
    <t xml:space="preserve">Unidade </t>
  </si>
  <si>
    <t>Planilha de Análise Econômica e Financeira</t>
  </si>
  <si>
    <r>
      <rPr>
        <sz val="12"/>
        <color theme="1"/>
        <rFont val="Calibri"/>
        <family val="2"/>
        <charset val="128"/>
        <scheme val="minor"/>
      </rPr>
      <t xml:space="preserve">Data: </t>
    </r>
  </si>
  <si>
    <r>
      <rPr>
        <sz val="12"/>
        <color theme="1"/>
        <rFont val="Calibri"/>
        <family val="2"/>
        <charset val="128"/>
        <scheme val="minor"/>
      </rPr>
      <t>Área Total Construída</t>
    </r>
  </si>
  <si>
    <r>
      <rPr>
        <sz val="12"/>
        <color theme="1"/>
        <rFont val="Calibri"/>
        <family val="2"/>
        <charset val="128"/>
        <scheme val="minor"/>
      </rPr>
      <t xml:space="preserve"> Sinal </t>
    </r>
  </si>
  <si>
    <r>
      <rPr>
        <sz val="12"/>
        <color theme="1"/>
        <rFont val="Calibri"/>
        <family val="2"/>
        <charset val="128"/>
        <scheme val="minor"/>
      </rPr>
      <t xml:space="preserve">Impostos </t>
    </r>
  </si>
  <si>
    <r>
      <rPr>
        <sz val="12"/>
        <color theme="1"/>
        <rFont val="Calibri"/>
        <family val="2"/>
        <charset val="128"/>
        <scheme val="minor"/>
      </rPr>
      <t xml:space="preserve">Anuais </t>
    </r>
  </si>
  <si>
    <r>
      <t>por 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 de área total construída </t>
    </r>
  </si>
  <si>
    <r>
      <rPr>
        <sz val="12"/>
        <color theme="1"/>
        <rFont val="Calibri"/>
        <family val="2"/>
        <charset val="128"/>
        <scheme val="minor"/>
      </rPr>
      <t xml:space="preserve"> Retorno</t>
    </r>
  </si>
  <si>
    <r>
      <rPr>
        <sz val="12"/>
        <color theme="1"/>
        <rFont val="Calibri"/>
        <family val="2"/>
        <charset val="128"/>
        <scheme val="minor"/>
      </rPr>
      <t xml:space="preserve">Corretagem </t>
    </r>
  </si>
  <si>
    <r>
      <rPr>
        <sz val="12"/>
        <color theme="1"/>
        <rFont val="Calibri"/>
        <family val="2"/>
        <charset val="128"/>
        <scheme val="minor"/>
      </rPr>
      <t xml:space="preserve">Cobrança de Juros </t>
    </r>
  </si>
  <si>
    <r>
      <rPr>
        <sz val="12"/>
        <rFont val="Calibri"/>
        <scheme val="minor"/>
      </rPr>
      <t xml:space="preserve">Após as obras </t>
    </r>
  </si>
  <si>
    <t>Área permeável mínima</t>
  </si>
  <si>
    <t>Projeção total das torres, portaria, área permeável e para lazer</t>
  </si>
  <si>
    <t>Desenvolvido por:</t>
  </si>
  <si>
    <t>VENDAS, IMPOSTOS E ADMINISTRAÇÃO</t>
  </si>
  <si>
    <r>
      <t xml:space="preserve">Taxa Mínima de Atratividade (TMA) </t>
    </r>
    <r>
      <rPr>
        <sz val="12"/>
        <color rgb="FFFF0000"/>
        <rFont val="Calibri"/>
        <family val="2"/>
        <scheme val="minor"/>
      </rPr>
      <t xml:space="preserve">* </t>
    </r>
  </si>
  <si>
    <r>
      <t>Inflação (IGP-M)</t>
    </r>
    <r>
      <rPr>
        <sz val="12"/>
        <color rgb="FFFF0000"/>
        <rFont val="Calibri"/>
        <family val="2"/>
        <scheme val="minor"/>
      </rPr>
      <t xml:space="preserve"> *</t>
    </r>
  </si>
  <si>
    <r>
      <t xml:space="preserve"> Inflação Setorial (INCC)</t>
    </r>
    <r>
      <rPr>
        <sz val="12"/>
        <color rgb="FFFF0000"/>
        <rFont val="Calibri"/>
        <family val="2"/>
        <scheme val="minor"/>
      </rPr>
      <t xml:space="preserve"> * </t>
    </r>
  </si>
  <si>
    <t xml:space="preserve"> (inclue desp. indiretas, benefícios ou taxa de adm. e projetos executivos)</t>
  </si>
  <si>
    <t>Peso</t>
  </si>
  <si>
    <t>Pavimento</t>
  </si>
  <si>
    <t>Adotado</t>
  </si>
  <si>
    <t>Construída</t>
  </si>
  <si>
    <t>Equivalente</t>
  </si>
  <si>
    <t>3° Subsolo</t>
  </si>
  <si>
    <t>2° Subsolo</t>
  </si>
  <si>
    <t>1° Subsolo</t>
  </si>
  <si>
    <t>Térreo sobre laje</t>
  </si>
  <si>
    <t>Térreo sobre terra</t>
  </si>
  <si>
    <t>Piscina sobre terra</t>
  </si>
  <si>
    <t>Cobertura do térreo (área impermeabilizada)</t>
  </si>
  <si>
    <t>Tipo</t>
  </si>
  <si>
    <t>Cobertura Inferior</t>
  </si>
  <si>
    <t>Cobertura Superior</t>
  </si>
  <si>
    <t>Ático</t>
  </si>
  <si>
    <t>Cobertura Torre (área impermeabilizada)</t>
  </si>
  <si>
    <t>CUSTO TOTAL DA OBRA</t>
  </si>
  <si>
    <t>CUSTO DO PAVIMENTO TIPO / m2</t>
  </si>
  <si>
    <t>Área (m2)</t>
  </si>
  <si>
    <t>Tabela para cálculo da Área Equivalente</t>
  </si>
  <si>
    <r>
      <t xml:space="preserve">Mês de início das obras </t>
    </r>
    <r>
      <rPr>
        <b/>
        <sz val="12"/>
        <color rgb="FFFF0000"/>
        <rFont val="Calibri"/>
        <scheme val="minor"/>
      </rPr>
      <t>(MIO)</t>
    </r>
    <r>
      <rPr>
        <sz val="12"/>
        <color theme="1"/>
        <rFont val="Calibri"/>
        <family val="2"/>
        <charset val="128"/>
        <scheme val="minor"/>
      </rPr>
      <t xml:space="preserve"> </t>
    </r>
    <r>
      <rPr>
        <sz val="12"/>
        <color rgb="FFFF0000"/>
        <rFont val="Calibri"/>
        <family val="2"/>
        <scheme val="minor"/>
      </rPr>
      <t xml:space="preserve">* </t>
    </r>
  </si>
  <si>
    <r>
      <t xml:space="preserve">Mês de conclusão das obras </t>
    </r>
    <r>
      <rPr>
        <b/>
        <sz val="12"/>
        <color rgb="FFFF0000"/>
        <rFont val="Calibri"/>
        <scheme val="minor"/>
      </rPr>
      <t>(MCO)</t>
    </r>
    <r>
      <rPr>
        <sz val="12"/>
        <color theme="1"/>
        <rFont val="Calibri"/>
        <family val="2"/>
        <charset val="128"/>
        <scheme val="minor"/>
      </rPr>
      <t xml:space="preserve"> </t>
    </r>
    <r>
      <rPr>
        <sz val="12"/>
        <color rgb="FFFF0000"/>
        <rFont val="Calibri"/>
        <family val="2"/>
        <scheme val="minor"/>
      </rPr>
      <t xml:space="preserve">* </t>
    </r>
  </si>
  <si>
    <t>Custo Total da Obra (C.T.O.)</t>
  </si>
  <si>
    <r>
      <t>Área do terreno (m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charset val="128"/>
        <scheme val="minor"/>
      </rPr>
      <t xml:space="preserve">) </t>
    </r>
    <r>
      <rPr>
        <sz val="12"/>
        <color rgb="FFFF0000"/>
        <rFont val="Calibri"/>
        <family val="2"/>
        <scheme val="minor"/>
      </rPr>
      <t>*</t>
    </r>
  </si>
  <si>
    <r>
      <rPr>
        <b/>
        <sz val="12"/>
        <color rgb="FFFF0000"/>
        <rFont val="Calibri"/>
        <scheme val="minor"/>
      </rPr>
      <t>Pós C.</t>
    </r>
    <r>
      <rPr>
        <sz val="12"/>
        <color theme="1"/>
        <rFont val="Calibri"/>
        <family val="2"/>
        <charset val="128"/>
        <scheme val="minor"/>
      </rPr>
      <t xml:space="preserve"> recebido à vista ou repassado ao banco</t>
    </r>
  </si>
  <si>
    <r>
      <t>Pós Chaves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scheme val="minor"/>
      </rPr>
      <t xml:space="preserve">(Pós C.) </t>
    </r>
  </si>
  <si>
    <t>Verificar comentário na marca vermelha -&gt;</t>
  </si>
  <si>
    <r>
      <t xml:space="preserve">ANÁLISE ECONÔMICA     </t>
    </r>
    <r>
      <rPr>
        <sz val="8"/>
        <color theme="0" tint="-0.249977111117893"/>
        <rFont val="Arial"/>
      </rPr>
      <t>www.hamiltonleite.com.br</t>
    </r>
    <r>
      <rPr>
        <sz val="9"/>
        <color theme="0" tint="-0.499984740745262"/>
        <rFont val="Arial"/>
      </rPr>
      <t xml:space="preserve">   </t>
    </r>
    <r>
      <rPr>
        <sz val="9"/>
        <color theme="0"/>
        <rFont val="Arial"/>
      </rPr>
      <t>.</t>
    </r>
  </si>
  <si>
    <t>TOTAL DE RECEITAS</t>
  </si>
  <si>
    <t>TOTAL DE CUSTOS E DESPESAS</t>
  </si>
  <si>
    <t>Juros (financiamento direto pós chaves)</t>
  </si>
  <si>
    <t xml:space="preserve">Térreo coberto </t>
  </si>
  <si>
    <t>ref. mínimo</t>
  </si>
  <si>
    <t>ref. máximo</t>
  </si>
  <si>
    <t xml:space="preserve">Total de vagas em subsolo             </t>
  </si>
  <si>
    <t xml:space="preserve"> www.hamiltonleite.com.br </t>
  </si>
  <si>
    <r>
      <t xml:space="preserve">Piscina sobre laje                   </t>
    </r>
    <r>
      <rPr>
        <sz val="8"/>
        <color theme="0" tint="-0.249977111117893"/>
        <rFont val="Calibri"/>
        <scheme val="minor"/>
      </rPr>
      <t>www.hamiltonleite.com.br</t>
    </r>
  </si>
  <si>
    <t xml:space="preserve">DESPESAS  </t>
  </si>
  <si>
    <t xml:space="preserve">VENDAS  </t>
  </si>
  <si>
    <t>onplssxtmstw</t>
  </si>
  <si>
    <t>Utilizado :</t>
  </si>
  <si>
    <r>
      <t>Custo de Oportunidade (COP)</t>
    </r>
    <r>
      <rPr>
        <sz val="12"/>
        <color rgb="FFFF0000"/>
        <rFont val="Calibri"/>
        <family val="2"/>
        <scheme val="minor"/>
      </rPr>
      <t xml:space="preserve"> *</t>
    </r>
  </si>
  <si>
    <t>ao mês para cálculo do Valor Presente</t>
  </si>
  <si>
    <t>Proporção de desembolso com as obras</t>
  </si>
  <si>
    <t>prod_mes</t>
  </si>
  <si>
    <t>tabdes</t>
  </si>
  <si>
    <t>Sim</t>
  </si>
  <si>
    <t>Não</t>
  </si>
  <si>
    <t>Abaixo de ( i )</t>
  </si>
  <si>
    <t>Maior ou igual a ( i )</t>
  </si>
  <si>
    <t>Menor do que ( ii )</t>
  </si>
  <si>
    <t>Maior ou igual a ( ii )</t>
  </si>
  <si>
    <t>Menor do que ( iii )</t>
  </si>
  <si>
    <t>Maior ou igual a ( iii )</t>
  </si>
  <si>
    <t>Questão</t>
  </si>
  <si>
    <t>Respostas</t>
  </si>
  <si>
    <t>Respostas Corretas</t>
  </si>
  <si>
    <t>Nota</t>
  </si>
  <si>
    <t>1a</t>
  </si>
  <si>
    <t>1b</t>
  </si>
  <si>
    <t>1c</t>
  </si>
  <si>
    <t>3a</t>
  </si>
  <si>
    <t>3b</t>
  </si>
  <si>
    <t>3c</t>
  </si>
  <si>
    <t>5a</t>
  </si>
  <si>
    <t>Prospecção e compra de terreno</t>
  </si>
  <si>
    <t>5b</t>
  </si>
  <si>
    <t>Desenvolvimento de projeto legal</t>
  </si>
  <si>
    <t>5c</t>
  </si>
  <si>
    <t>Aprovações dos projetos</t>
  </si>
  <si>
    <t>5d</t>
  </si>
  <si>
    <t>Registro da Incorporação</t>
  </si>
  <si>
    <t>5e</t>
  </si>
  <si>
    <t>Lançamento de vendas</t>
  </si>
  <si>
    <t>5f</t>
  </si>
  <si>
    <t>Construção</t>
  </si>
  <si>
    <t>5g</t>
  </si>
  <si>
    <t>Entrega das unidades</t>
  </si>
  <si>
    <t>5h</t>
  </si>
  <si>
    <t>Assistência técnica pós-chaves</t>
  </si>
  <si>
    <t>Usuário</t>
  </si>
  <si>
    <t>Custo adicional da obra</t>
  </si>
  <si>
    <t>Entre 1% e 8% mais caros</t>
  </si>
  <si>
    <t xml:space="preserve">Aluno: </t>
  </si>
  <si>
    <t>ao mês (COP) para cálculo do Valor Presente</t>
  </si>
  <si>
    <t>5 vezes maiores do que os custos adicionais</t>
  </si>
  <si>
    <t>onpsfvtmtw</t>
  </si>
  <si>
    <t>TR Restrita (incluído IGP-M)</t>
  </si>
  <si>
    <t>TIR (incluído IGP-M)</t>
  </si>
  <si>
    <t>Número total de unidades Tipo 2</t>
  </si>
  <si>
    <t>Pesquisas e Estudos Preliminares</t>
  </si>
  <si>
    <r>
      <t xml:space="preserve">Custo Total da Obra, incl. projetos (C.T.O.) </t>
    </r>
    <r>
      <rPr>
        <sz val="12"/>
        <color rgb="FFFF0000"/>
        <rFont val="Calibri"/>
        <family val="2"/>
        <scheme val="minor"/>
      </rPr>
      <t xml:space="preserve">* </t>
    </r>
  </si>
  <si>
    <t>Áreas cobertas no térreo computáveis fora da proj. da torre (lazer)</t>
  </si>
  <si>
    <t>Áreas cobertas no térreo não comput. fora da proj. da torre (portaria)</t>
  </si>
  <si>
    <t>vagas</t>
  </si>
  <si>
    <t>pavimentos</t>
  </si>
  <si>
    <t>unid./pav.</t>
  </si>
  <si>
    <t>torre(s)</t>
  </si>
  <si>
    <t>vaga(s)/unidade</t>
  </si>
  <si>
    <r>
      <t>Área Privativa média por unidade Tipo</t>
    </r>
    <r>
      <rPr>
        <sz val="12"/>
        <color rgb="FFFF0000"/>
        <rFont val="Calibri"/>
        <family val="2"/>
        <scheme val="minor"/>
      </rPr>
      <t>*</t>
    </r>
  </si>
  <si>
    <r>
      <t>Número total de unidades Tipo</t>
    </r>
    <r>
      <rPr>
        <sz val="12"/>
        <color rgb="FFFF0000"/>
        <rFont val="Calibri"/>
        <family val="2"/>
        <scheme val="minor"/>
      </rPr>
      <t>*</t>
    </r>
  </si>
  <si>
    <t>Versão 9 - Jan/2018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</si>
</sst>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R$&quot;#,##0.00_);\(&quot;R$&quot;#,##0.00\)"/>
    <numFmt numFmtId="8" formatCode="&quot;R$&quot;#,##0.00_);[Red]\(&quot;R$&quot;#,##0.00\)"/>
    <numFmt numFmtId="43" formatCode="_(* #,##0.00_);_(* \(#,##0.00\);_(* &quot;-&quot;??_);_(@_)"/>
    <numFmt numFmtId="164" formatCode="_-&quot;R$&quot;* #,##0.00_-;\-&quot;R$&quot;* #,##0.00_-;_-&quot;R$&quot;* &quot;-&quot;??_-;_-@_-"/>
    <numFmt numFmtId="165" formatCode="_(* #,##0_);_(* \(#,##0\);_(* &quot;-&quot;??_);_(@_)"/>
    <numFmt numFmtId="166" formatCode="&quot;R$&quot;#,##0.00"/>
    <numFmt numFmtId="167" formatCode="[$-416]mmm\-yy;@"/>
    <numFmt numFmtId="168" formatCode="0.0%"/>
    <numFmt numFmtId="169" formatCode="_(* #,##0.0_);_(* \(#,##0.0\);_(* &quot;-&quot;??_);_(@_)"/>
    <numFmt numFmtId="170" formatCode="&quot;R$&quot;#,##0"/>
    <numFmt numFmtId="171" formatCode="0.000%"/>
    <numFmt numFmtId="172" formatCode="0.0000%"/>
    <numFmt numFmtId="173" formatCode="#,##0.0000000_);[Red]\(#,##0.0000000\)"/>
    <numFmt numFmtId="174" formatCode="_(* #,##0.00000_);_(* \(#,##0.00000\);_(* &quot;-&quot;??_);_(@_)"/>
    <numFmt numFmtId="175" formatCode="_(* #,##0.000000_);_(* \(#,##0.000000\);_(* &quot;-&quot;??_);_(@_)"/>
    <numFmt numFmtId="176" formatCode="0.0"/>
  </numFmts>
  <fonts count="77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name val="Calibri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scheme val="minor"/>
    </font>
    <font>
      <vertAlign val="superscript"/>
      <sz val="12"/>
      <color theme="1"/>
      <name val="Calibri"/>
      <scheme val="minor"/>
    </font>
    <font>
      <b/>
      <u/>
      <sz val="12"/>
      <name val="Calibri"/>
      <scheme val="minor"/>
    </font>
    <font>
      <b/>
      <u val="singleAccounting"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b/>
      <u val="singleAccounting"/>
      <sz val="12"/>
      <color rgb="FF000000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u/>
      <sz val="12"/>
      <color theme="1"/>
      <name val="Calibri"/>
      <scheme val="minor"/>
    </font>
    <font>
      <b/>
      <u/>
      <sz val="14"/>
      <color theme="1"/>
      <name val="Calibri"/>
      <scheme val="minor"/>
    </font>
    <font>
      <sz val="12"/>
      <color rgb="FF0000FF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scheme val="minor"/>
    </font>
    <font>
      <b/>
      <u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u/>
      <sz val="12"/>
      <color rgb="FFFF0000"/>
      <name val="Calibri"/>
      <scheme val="minor"/>
    </font>
    <font>
      <sz val="11.5"/>
      <color theme="1"/>
      <name val="Calibri"/>
      <scheme val="minor"/>
    </font>
    <font>
      <sz val="9"/>
      <color indexed="81"/>
      <name val="Calibri"/>
      <family val="2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9"/>
      <color indexed="81"/>
      <name val="Calibri"/>
      <family val="2"/>
    </font>
    <font>
      <sz val="12"/>
      <color indexed="8"/>
      <name val="Calibri"/>
      <scheme val="minor"/>
    </font>
    <font>
      <sz val="12"/>
      <color indexed="18"/>
      <name val="Calibri"/>
      <scheme val="minor"/>
    </font>
    <font>
      <sz val="11"/>
      <name val="Arial"/>
    </font>
    <font>
      <u/>
      <sz val="8"/>
      <color theme="10"/>
      <name val="Calibri"/>
      <scheme val="minor"/>
    </font>
    <font>
      <u/>
      <sz val="6"/>
      <color rgb="FFB1B1B1"/>
      <name val="Calibri"/>
      <scheme val="minor"/>
    </font>
    <font>
      <u/>
      <sz val="6"/>
      <color theme="0" tint="-0.34998626667073579"/>
      <name val="Calibri"/>
      <scheme val="minor"/>
    </font>
    <font>
      <u/>
      <sz val="8"/>
      <color theme="0" tint="-0.34998626667073579"/>
      <name val="Calibri"/>
      <scheme val="minor"/>
    </font>
    <font>
      <sz val="8"/>
      <color theme="0" tint="-0.34998626667073579"/>
      <name val="Calibri"/>
      <scheme val="minor"/>
    </font>
    <font>
      <u/>
      <sz val="12"/>
      <color theme="0" tint="-0.34998626667073579"/>
      <name val="Calibri"/>
      <scheme val="minor"/>
    </font>
    <font>
      <sz val="9"/>
      <color theme="0" tint="-0.499984740745262"/>
      <name val="Arial"/>
    </font>
    <font>
      <sz val="9"/>
      <color theme="0"/>
      <name val="Arial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0000FF"/>
      <name val="Calibri"/>
      <scheme val="minor"/>
    </font>
    <font>
      <sz val="11"/>
      <color rgb="FF0000FF"/>
      <name val="Calibri"/>
      <scheme val="minor"/>
    </font>
    <font>
      <sz val="12"/>
      <color theme="0"/>
      <name val="Calibri"/>
      <family val="2"/>
      <scheme val="minor"/>
    </font>
    <font>
      <u/>
      <sz val="12"/>
      <color theme="0"/>
      <name val="Calibri"/>
      <scheme val="minor"/>
    </font>
    <font>
      <vertAlign val="subscript"/>
      <sz val="12"/>
      <color theme="1"/>
      <name val="Calibri"/>
      <scheme val="minor"/>
    </font>
    <font>
      <u val="singleAccounting"/>
      <sz val="12"/>
      <color theme="1"/>
      <name val="Calibri"/>
      <scheme val="minor"/>
    </font>
    <font>
      <b/>
      <sz val="11"/>
      <color theme="1"/>
      <name val="Calibri"/>
      <scheme val="minor"/>
    </font>
    <font>
      <u/>
      <sz val="6"/>
      <color rgb="FF3366FF"/>
      <name val="Calibri"/>
      <scheme val="minor"/>
    </font>
    <font>
      <sz val="6"/>
      <color rgb="FF000000"/>
      <name val="Calibri"/>
      <scheme val="minor"/>
    </font>
    <font>
      <u/>
      <sz val="6"/>
      <color theme="10"/>
      <name val="Calibri"/>
      <scheme val="minor"/>
    </font>
    <font>
      <u/>
      <sz val="8"/>
      <color theme="0"/>
      <name val="Calibri"/>
      <scheme val="minor"/>
    </font>
    <font>
      <b/>
      <sz val="6"/>
      <color theme="1"/>
      <name val="Calibri"/>
      <scheme val="minor"/>
    </font>
    <font>
      <b/>
      <u/>
      <sz val="12"/>
      <color rgb="FF0000FF"/>
      <name val="Calibri"/>
      <scheme val="minor"/>
    </font>
    <font>
      <sz val="8"/>
      <color rgb="FFFF0000"/>
      <name val="Calibri"/>
      <scheme val="minor"/>
    </font>
    <font>
      <u/>
      <sz val="8"/>
      <color theme="0" tint="-0.249977111117893"/>
      <name val="Calibri"/>
      <scheme val="minor"/>
    </font>
    <font>
      <sz val="8"/>
      <color theme="0" tint="-0.249977111117893"/>
      <name val="Arial"/>
    </font>
    <font>
      <sz val="8"/>
      <color theme="0" tint="-0.249977111117893"/>
      <name val="Calibri"/>
      <scheme val="minor"/>
    </font>
    <font>
      <sz val="8"/>
      <color rgb="FFBFBFBF"/>
      <name val="Calibri"/>
      <scheme val="minor"/>
    </font>
    <font>
      <u/>
      <sz val="12"/>
      <color theme="0" tint="-0.249977111117893"/>
      <name val="Calibri"/>
      <scheme val="minor"/>
    </font>
    <font>
      <sz val="6"/>
      <color theme="0"/>
      <name val="Calibri"/>
      <scheme val="minor"/>
    </font>
    <font>
      <b/>
      <sz val="12"/>
      <color theme="0"/>
      <name val="Calibri"/>
      <family val="2"/>
      <scheme val="minor"/>
    </font>
    <font>
      <sz val="12"/>
      <name val="Arial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</font>
    <font>
      <b/>
      <i/>
      <sz val="1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CFFCB"/>
        <bgColor indexed="64"/>
      </patternFill>
    </fill>
    <fill>
      <patternFill patternType="solid">
        <fgColor rgb="FFF2E7E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000090"/>
      </left>
      <right/>
      <top style="thick">
        <color rgb="FF000090"/>
      </top>
      <bottom/>
      <diagonal/>
    </border>
    <border>
      <left/>
      <right/>
      <top style="thick">
        <color rgb="FF000090"/>
      </top>
      <bottom/>
      <diagonal/>
    </border>
    <border>
      <left/>
      <right style="thick">
        <color rgb="FF000090"/>
      </right>
      <top style="thick">
        <color rgb="FF000090"/>
      </top>
      <bottom/>
      <diagonal/>
    </border>
    <border>
      <left style="thick">
        <color rgb="FF000090"/>
      </left>
      <right/>
      <top/>
      <bottom/>
      <diagonal/>
    </border>
    <border>
      <left/>
      <right style="thick">
        <color rgb="FF000090"/>
      </right>
      <top/>
      <bottom/>
      <diagonal/>
    </border>
    <border>
      <left style="thick">
        <color rgb="FF000090"/>
      </left>
      <right/>
      <top/>
      <bottom style="thick">
        <color rgb="FF000090"/>
      </bottom>
      <diagonal/>
    </border>
    <border>
      <left/>
      <right/>
      <top/>
      <bottom style="thick">
        <color rgb="FF000090"/>
      </bottom>
      <diagonal/>
    </border>
    <border>
      <left/>
      <right style="thick">
        <color rgb="FF000090"/>
      </right>
      <top/>
      <bottom style="thick">
        <color rgb="FF00009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51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0">
    <xf numFmtId="0" fontId="0" fillId="0" borderId="0" xfId="0"/>
    <xf numFmtId="43" fontId="0" fillId="0" borderId="0" xfId="1" applyFont="1"/>
    <xf numFmtId="0" fontId="0" fillId="0" borderId="0" xfId="0" applyAlignment="1">
      <alignment horizontal="left" indent="1"/>
    </xf>
    <xf numFmtId="43" fontId="1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8" fontId="0" fillId="0" borderId="0" xfId="0" applyNumberFormat="1"/>
    <xf numFmtId="0" fontId="20" fillId="0" borderId="0" xfId="0" applyFont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8" fontId="0" fillId="0" borderId="2" xfId="0" applyNumberForma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1" xfId="0" applyBorder="1"/>
    <xf numFmtId="0" fontId="0" fillId="0" borderId="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166" fontId="0" fillId="0" borderId="0" xfId="0" applyNumberFormat="1"/>
    <xf numFmtId="0" fontId="2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right"/>
    </xf>
    <xf numFmtId="8" fontId="0" fillId="0" borderId="0" xfId="0" applyNumberFormat="1" applyBorder="1"/>
    <xf numFmtId="0" fontId="0" fillId="0" borderId="8" xfId="0" applyBorder="1" applyAlignment="1">
      <alignment horizontal="center"/>
    </xf>
    <xf numFmtId="0" fontId="0" fillId="0" borderId="0" xfId="0" applyBorder="1" applyAlignment="1"/>
    <xf numFmtId="0" fontId="0" fillId="0" borderId="21" xfId="0" applyBorder="1"/>
    <xf numFmtId="0" fontId="0" fillId="0" borderId="20" xfId="0" applyFill="1" applyBorder="1"/>
    <xf numFmtId="0" fontId="0" fillId="0" borderId="3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8" fontId="0" fillId="0" borderId="12" xfId="0" applyNumberFormat="1" applyBorder="1"/>
    <xf numFmtId="0" fontId="0" fillId="0" borderId="18" xfId="0" applyBorder="1"/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68" fontId="0" fillId="0" borderId="0" xfId="0" applyNumberFormat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/>
    <xf numFmtId="0" fontId="18" fillId="0" borderId="0" xfId="0" applyFont="1" applyAlignment="1">
      <alignment horizontal="right"/>
    </xf>
    <xf numFmtId="0" fontId="35" fillId="0" borderId="4" xfId="0" applyFont="1" applyBorder="1"/>
    <xf numFmtId="165" fontId="36" fillId="0" borderId="0" xfId="1" applyNumberFormat="1" applyFont="1"/>
    <xf numFmtId="40" fontId="36" fillId="0" borderId="0" xfId="0" applyNumberFormat="1" applyFont="1"/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9" fontId="0" fillId="0" borderId="0" xfId="0" applyNumberFormat="1"/>
    <xf numFmtId="9" fontId="0" fillId="0" borderId="0" xfId="2" applyFo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71" fontId="0" fillId="0" borderId="0" xfId="0" applyNumberFormat="1"/>
    <xf numFmtId="166" fontId="0" fillId="0" borderId="0" xfId="0" applyNumberFormat="1" applyAlignment="1">
      <alignment horizontal="left"/>
    </xf>
    <xf numFmtId="0" fontId="0" fillId="0" borderId="4" xfId="0" applyFont="1" applyBorder="1" applyAlignment="1">
      <alignment horizontal="left"/>
    </xf>
    <xf numFmtId="40" fontId="0" fillId="0" borderId="0" xfId="0" applyNumberFormat="1" applyAlignment="1">
      <alignment horizontal="left"/>
    </xf>
    <xf numFmtId="0" fontId="0" fillId="0" borderId="13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7" fontId="0" fillId="0" borderId="13" xfId="1" applyNumberFormat="1" applyFont="1" applyFill="1" applyBorder="1"/>
    <xf numFmtId="0" fontId="0" fillId="0" borderId="17" xfId="0" applyFill="1" applyBorder="1"/>
    <xf numFmtId="0" fontId="33" fillId="0" borderId="7" xfId="0" applyFont="1" applyBorder="1" applyAlignment="1">
      <alignment horizontal="left"/>
    </xf>
    <xf numFmtId="10" fontId="0" fillId="8" borderId="3" xfId="0" applyNumberFormat="1" applyFill="1" applyBorder="1" applyProtection="1">
      <protection hidden="1"/>
    </xf>
    <xf numFmtId="10" fontId="0" fillId="8" borderId="3" xfId="0" applyNumberFormat="1" applyFont="1" applyFill="1" applyBorder="1" applyProtection="1">
      <protection hidden="1"/>
    </xf>
    <xf numFmtId="43" fontId="0" fillId="0" borderId="3" xfId="1" applyFont="1" applyFill="1" applyBorder="1" applyProtection="1">
      <protection hidden="1"/>
    </xf>
    <xf numFmtId="43" fontId="0" fillId="0" borderId="10" xfId="0" applyNumberFormat="1" applyFill="1" applyBorder="1" applyProtection="1">
      <protection hidden="1"/>
    </xf>
    <xf numFmtId="170" fontId="9" fillId="0" borderId="1" xfId="0" applyNumberFormat="1" applyFont="1" applyBorder="1" applyAlignment="1" applyProtection="1">
      <protection hidden="1"/>
    </xf>
    <xf numFmtId="43" fontId="0" fillId="0" borderId="1" xfId="1" applyFont="1" applyBorder="1" applyProtection="1">
      <protection hidden="1"/>
    </xf>
    <xf numFmtId="168" fontId="0" fillId="0" borderId="4" xfId="2" applyNumberFormat="1" applyFont="1" applyBorder="1" applyProtection="1">
      <protection hidden="1"/>
    </xf>
    <xf numFmtId="168" fontId="0" fillId="0" borderId="1" xfId="2" applyNumberFormat="1" applyFont="1" applyBorder="1" applyProtection="1">
      <protection hidden="1"/>
    </xf>
    <xf numFmtId="43" fontId="33" fillId="0" borderId="1" xfId="0" applyNumberFormat="1" applyFont="1" applyBorder="1" applyProtection="1">
      <protection hidden="1"/>
    </xf>
    <xf numFmtId="17" fontId="0" fillId="0" borderId="4" xfId="0" applyNumberFormat="1" applyFill="1" applyBorder="1" applyAlignment="1" applyProtection="1">
      <alignment horizontal="center"/>
      <protection hidden="1"/>
    </xf>
    <xf numFmtId="0" fontId="0" fillId="0" borderId="4" xfId="1" applyNumberFormat="1" applyFont="1" applyBorder="1" applyAlignment="1" applyProtection="1">
      <alignment horizontal="center"/>
      <protection hidden="1"/>
    </xf>
    <xf numFmtId="166" fontId="0" fillId="0" borderId="17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67" fontId="0" fillId="0" borderId="4" xfId="0" applyNumberFormat="1" applyFill="1" applyBorder="1" applyAlignment="1" applyProtection="1">
      <alignment horizontal="center"/>
      <protection hidden="1"/>
    </xf>
    <xf numFmtId="166" fontId="0" fillId="0" borderId="10" xfId="2" applyNumberFormat="1" applyFont="1" applyFill="1" applyBorder="1" applyProtection="1">
      <protection hidden="1"/>
    </xf>
    <xf numFmtId="166" fontId="0" fillId="0" borderId="13" xfId="0" applyNumberFormat="1" applyFill="1" applyBorder="1" applyProtection="1">
      <protection hidden="1"/>
    </xf>
    <xf numFmtId="166" fontId="14" fillId="0" borderId="3" xfId="0" applyNumberFormat="1" applyFont="1" applyFill="1" applyBorder="1" applyProtection="1">
      <protection hidden="1"/>
    </xf>
    <xf numFmtId="166" fontId="18" fillId="0" borderId="6" xfId="0" applyNumberFormat="1" applyFont="1" applyFill="1" applyBorder="1" applyProtection="1">
      <protection hidden="1"/>
    </xf>
    <xf numFmtId="166" fontId="0" fillId="0" borderId="3" xfId="0" applyNumberFormat="1" applyFill="1" applyBorder="1" applyProtection="1">
      <protection hidden="1"/>
    </xf>
    <xf numFmtId="165" fontId="0" fillId="0" borderId="8" xfId="1" applyNumberFormat="1" applyFont="1" applyFill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0" fontId="0" fillId="0" borderId="3" xfId="2" applyNumberFormat="1" applyFont="1" applyFill="1" applyBorder="1" applyAlignment="1" applyProtection="1">
      <alignment horizontal="center"/>
      <protection hidden="1"/>
    </xf>
    <xf numFmtId="166" fontId="0" fillId="0" borderId="1" xfId="0" applyNumberFormat="1" applyFill="1" applyBorder="1" applyProtection="1">
      <protection hidden="1"/>
    </xf>
    <xf numFmtId="166" fontId="0" fillId="0" borderId="1" xfId="0" applyNumberFormat="1" applyBorder="1" applyProtection="1">
      <protection hidden="1"/>
    </xf>
    <xf numFmtId="10" fontId="0" fillId="0" borderId="5" xfId="0" applyNumberFormat="1" applyFill="1" applyBorder="1" applyProtection="1">
      <protection hidden="1"/>
    </xf>
    <xf numFmtId="166" fontId="0" fillId="0" borderId="5" xfId="0" applyNumberFormat="1" applyFill="1" applyBorder="1" applyProtection="1">
      <protection hidden="1"/>
    </xf>
    <xf numFmtId="8" fontId="0" fillId="0" borderId="3" xfId="0" applyNumberFormat="1" applyFill="1" applyBorder="1" applyProtection="1">
      <protection hidden="1"/>
    </xf>
    <xf numFmtId="167" fontId="0" fillId="0" borderId="11" xfId="0" applyNumberFormat="1" applyFill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166" fontId="0" fillId="0" borderId="8" xfId="1" applyNumberFormat="1" applyFont="1" applyFill="1" applyBorder="1" applyProtection="1">
      <protection hidden="1"/>
    </xf>
    <xf numFmtId="166" fontId="0" fillId="0" borderId="10" xfId="1" applyNumberFormat="1" applyFont="1" applyFill="1" applyBorder="1" applyProtection="1"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1" fontId="0" fillId="0" borderId="6" xfId="1" applyNumberFormat="1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168" fontId="0" fillId="0" borderId="6" xfId="2" applyNumberFormat="1" applyFont="1" applyFill="1" applyBorder="1" applyAlignment="1" applyProtection="1">
      <alignment horizontal="center"/>
      <protection hidden="1"/>
    </xf>
    <xf numFmtId="166" fontId="0" fillId="0" borderId="1" xfId="0" applyNumberFormat="1" applyFill="1" applyBorder="1" applyAlignment="1" applyProtection="1">
      <alignment horizontal="right"/>
      <protection hidden="1"/>
    </xf>
    <xf numFmtId="10" fontId="0" fillId="8" borderId="10" xfId="0" applyNumberFormat="1" applyFill="1" applyBorder="1" applyProtection="1"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166" fontId="0" fillId="0" borderId="6" xfId="1" applyNumberFormat="1" applyFont="1" applyFill="1" applyBorder="1" applyProtection="1">
      <protection hidden="1"/>
    </xf>
    <xf numFmtId="0" fontId="0" fillId="0" borderId="17" xfId="1" applyNumberFormat="1" applyFont="1" applyFill="1" applyBorder="1" applyAlignment="1" applyProtection="1">
      <alignment horizontal="right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9" fontId="0" fillId="0" borderId="8" xfId="2" applyNumberFormat="1" applyFont="1" applyFill="1" applyBorder="1" applyProtection="1">
      <protection hidden="1"/>
    </xf>
    <xf numFmtId="166" fontId="0" fillId="0" borderId="6" xfId="0" applyNumberFormat="1" applyFill="1" applyBorder="1" applyProtection="1">
      <protection hidden="1"/>
    </xf>
    <xf numFmtId="14" fontId="0" fillId="0" borderId="4" xfId="0" applyNumberFormat="1" applyFont="1" applyBorder="1" applyAlignment="1" applyProtection="1">
      <alignment horizontal="center"/>
      <protection hidden="1"/>
    </xf>
    <xf numFmtId="166" fontId="0" fillId="0" borderId="3" xfId="0" applyNumberFormat="1" applyFont="1" applyBorder="1" applyAlignment="1" applyProtection="1">
      <alignment horizontal="right"/>
      <protection hidden="1"/>
    </xf>
    <xf numFmtId="10" fontId="0" fillId="0" borderId="3" xfId="2" applyNumberFormat="1" applyFont="1" applyBorder="1" applyAlignment="1" applyProtection="1">
      <protection hidden="1"/>
    </xf>
    <xf numFmtId="168" fontId="0" fillId="0" borderId="3" xfId="2" applyNumberFormat="1" applyFont="1" applyBorder="1" applyAlignment="1" applyProtection="1">
      <protection hidden="1"/>
    </xf>
    <xf numFmtId="168" fontId="0" fillId="0" borderId="19" xfId="2" applyNumberFormat="1" applyFont="1" applyFill="1" applyBorder="1" applyProtection="1">
      <protection hidden="1"/>
    </xf>
    <xf numFmtId="10" fontId="0" fillId="0" borderId="3" xfId="2" applyNumberFormat="1" applyFont="1" applyFill="1" applyBorder="1" applyProtection="1">
      <protection hidden="1"/>
    </xf>
    <xf numFmtId="10" fontId="0" fillId="0" borderId="1" xfId="2" applyNumberFormat="1" applyFont="1" applyFill="1" applyBorder="1" applyProtection="1">
      <protection hidden="1"/>
    </xf>
    <xf numFmtId="165" fontId="0" fillId="0" borderId="3" xfId="1" applyNumberFormat="1" applyFont="1" applyFill="1" applyBorder="1" applyProtection="1">
      <protection hidden="1"/>
    </xf>
    <xf numFmtId="169" fontId="0" fillId="0" borderId="3" xfId="1" applyNumberFormat="1" applyFont="1" applyFill="1" applyBorder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166" fontId="0" fillId="0" borderId="0" xfId="0" applyNumberFormat="1" applyFont="1" applyAlignment="1" applyProtection="1">
      <alignment horizontal="right"/>
      <protection hidden="1"/>
    </xf>
    <xf numFmtId="0" fontId="18" fillId="0" borderId="0" xfId="0" applyFont="1" applyFill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0" fillId="0" borderId="0" xfId="1" applyNumberFormat="1" applyFont="1" applyAlignment="1" applyProtection="1">
      <alignment horizontal="left" indent="1"/>
      <protection hidden="1"/>
    </xf>
    <xf numFmtId="0" fontId="0" fillId="0" borderId="0" xfId="0" applyAlignment="1" applyProtection="1">
      <alignment horizontal="center"/>
      <protection hidden="1"/>
    </xf>
    <xf numFmtId="40" fontId="0" fillId="0" borderId="0" xfId="1" applyNumberFormat="1" applyFont="1" applyAlignment="1" applyProtection="1">
      <alignment horizontal="center"/>
      <protection hidden="1"/>
    </xf>
    <xf numFmtId="40" fontId="0" fillId="0" borderId="0" xfId="1" applyNumberFormat="1" applyFont="1" applyAlignment="1" applyProtection="1">
      <alignment horizontal="left" indent="1"/>
      <protection hidden="1"/>
    </xf>
    <xf numFmtId="40" fontId="0" fillId="0" borderId="0" xfId="0" applyNumberFormat="1" applyAlignment="1" applyProtection="1">
      <alignment horizontal="left" indent="1"/>
      <protection hidden="1"/>
    </xf>
    <xf numFmtId="10" fontId="0" fillId="0" borderId="0" xfId="2" applyNumberFormat="1" applyFont="1" applyAlignment="1" applyProtection="1">
      <alignment horizontal="left" indent="1"/>
      <protection hidden="1"/>
    </xf>
    <xf numFmtId="40" fontId="27" fillId="0" borderId="0" xfId="153" applyNumberFormat="1" applyBorder="1" applyProtection="1">
      <protection hidden="1"/>
    </xf>
    <xf numFmtId="38" fontId="27" fillId="0" borderId="0" xfId="153" applyNumberFormat="1" applyBorder="1" applyAlignment="1" applyProtection="1">
      <alignment horizontal="center"/>
      <protection hidden="1"/>
    </xf>
    <xf numFmtId="40" fontId="27" fillId="0" borderId="0" xfId="2" applyNumberFormat="1" applyFont="1" applyBorder="1" applyProtection="1">
      <protection hidden="1"/>
    </xf>
    <xf numFmtId="40" fontId="27" fillId="0" borderId="0" xfId="153" applyNumberFormat="1" applyFont="1" applyBorder="1" applyProtection="1">
      <protection hidden="1"/>
    </xf>
    <xf numFmtId="40" fontId="5" fillId="0" borderId="0" xfId="2" applyNumberFormat="1" applyBorder="1" applyProtection="1">
      <protection hidden="1"/>
    </xf>
    <xf numFmtId="40" fontId="0" fillId="0" borderId="0" xfId="0" applyNumberFormat="1" applyAlignment="1" applyProtection="1">
      <alignment horizontal="right"/>
      <protection hidden="1"/>
    </xf>
    <xf numFmtId="40" fontId="0" fillId="0" borderId="0" xfId="0" applyNumberForma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4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left" indent="1"/>
      <protection hidden="1"/>
    </xf>
    <xf numFmtId="40" fontId="0" fillId="0" borderId="0" xfId="0" applyNumberFormat="1" applyFill="1" applyProtection="1">
      <protection hidden="1"/>
    </xf>
    <xf numFmtId="168" fontId="0" fillId="7" borderId="27" xfId="2" applyNumberFormat="1" applyFont="1" applyFill="1" applyBorder="1" applyAlignment="1" applyProtection="1">
      <alignment horizontal="center"/>
      <protection hidden="1"/>
    </xf>
    <xf numFmtId="38" fontId="0" fillId="0" borderId="0" xfId="0" applyNumberFormat="1" applyAlignment="1" applyProtection="1">
      <alignment horizontal="center"/>
      <protection hidden="1"/>
    </xf>
    <xf numFmtId="40" fontId="28" fillId="0" borderId="0" xfId="0" applyNumberFormat="1" applyFont="1" applyBorder="1" applyAlignment="1" applyProtection="1">
      <alignment horizontal="center"/>
      <protection hidden="1"/>
    </xf>
    <xf numFmtId="40" fontId="28" fillId="0" borderId="0" xfId="0" applyNumberFormat="1" applyFont="1" applyBorder="1" applyAlignment="1" applyProtection="1">
      <alignment horizontal="right"/>
      <protection hidden="1"/>
    </xf>
    <xf numFmtId="40" fontId="29" fillId="0" borderId="0" xfId="0" applyNumberFormat="1" applyFont="1" applyFill="1" applyBorder="1" applyAlignment="1" applyProtection="1">
      <alignment horizontal="right"/>
      <protection hidden="1"/>
    </xf>
    <xf numFmtId="40" fontId="28" fillId="0" borderId="0" xfId="0" applyNumberFormat="1" applyFont="1" applyFill="1" applyBorder="1" applyAlignment="1" applyProtection="1">
      <alignment horizontal="right"/>
      <protection hidden="1"/>
    </xf>
    <xf numFmtId="173" fontId="0" fillId="0" borderId="0" xfId="0" applyNumberFormat="1" applyAlignment="1" applyProtection="1">
      <alignment horizontal="left" indent="1"/>
      <protection hidden="1"/>
    </xf>
    <xf numFmtId="40" fontId="28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1" applyNumberFormat="1" applyFont="1" applyAlignment="1" applyProtection="1">
      <alignment horizontal="center"/>
      <protection hidden="1"/>
    </xf>
    <xf numFmtId="40" fontId="0" fillId="0" borderId="0" xfId="1" applyNumberFormat="1" applyFont="1" applyProtection="1">
      <protection hidden="1"/>
    </xf>
    <xf numFmtId="40" fontId="0" fillId="2" borderId="11" xfId="0" applyNumberFormat="1" applyFill="1" applyBorder="1" applyAlignment="1" applyProtection="1">
      <alignment horizontal="center"/>
      <protection hidden="1"/>
    </xf>
    <xf numFmtId="40" fontId="0" fillId="2" borderId="5" xfId="0" applyNumberFormat="1" applyFill="1" applyBorder="1" applyAlignment="1" applyProtection="1">
      <alignment horizontal="center"/>
      <protection hidden="1"/>
    </xf>
    <xf numFmtId="40" fontId="0" fillId="2" borderId="10" xfId="0" applyNumberFormat="1" applyFill="1" applyBorder="1" applyAlignment="1" applyProtection="1">
      <alignment horizontal="center"/>
      <protection hidden="1"/>
    </xf>
    <xf numFmtId="40" fontId="0" fillId="2" borderId="0" xfId="0" applyNumberFormat="1" applyFill="1" applyBorder="1" applyAlignment="1" applyProtection="1">
      <alignment horizontal="center"/>
      <protection hidden="1"/>
    </xf>
    <xf numFmtId="40" fontId="29" fillId="0" borderId="0" xfId="0" applyNumberFormat="1" applyFont="1" applyFill="1" applyBorder="1" applyAlignment="1" applyProtection="1">
      <alignment wrapText="1"/>
      <protection hidden="1"/>
    </xf>
    <xf numFmtId="165" fontId="0" fillId="0" borderId="0" xfId="1" applyNumberFormat="1" applyFont="1" applyProtection="1">
      <protection hidden="1"/>
    </xf>
    <xf numFmtId="168" fontId="0" fillId="0" borderId="0" xfId="2" applyNumberFormat="1" applyFont="1" applyAlignment="1" applyProtection="1">
      <alignment horizontal="center"/>
      <protection hidden="1"/>
    </xf>
    <xf numFmtId="172" fontId="0" fillId="0" borderId="0" xfId="2" applyNumberFormat="1" applyFont="1" applyAlignment="1" applyProtection="1">
      <alignment horizontal="center"/>
      <protection hidden="1"/>
    </xf>
    <xf numFmtId="40" fontId="30" fillId="2" borderId="37" xfId="0" applyNumberFormat="1" applyFont="1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protection hidden="1"/>
    </xf>
    <xf numFmtId="40" fontId="0" fillId="2" borderId="18" xfId="0" applyNumberFormat="1" applyFill="1" applyBorder="1" applyAlignment="1" applyProtection="1">
      <alignment horizontal="center"/>
      <protection hidden="1"/>
    </xf>
    <xf numFmtId="40" fontId="0" fillId="2" borderId="13" xfId="0" applyNumberFormat="1" applyFill="1" applyBorder="1" applyAlignment="1" applyProtection="1">
      <alignment horizontal="center"/>
      <protection hidden="1"/>
    </xf>
    <xf numFmtId="40" fontId="0" fillId="2" borderId="17" xfId="0" applyNumberFormat="1" applyFill="1" applyBorder="1" applyAlignment="1" applyProtection="1">
      <alignment horizontal="center"/>
      <protection hidden="1"/>
    </xf>
    <xf numFmtId="40" fontId="0" fillId="2" borderId="40" xfId="0" applyNumberFormat="1" applyFill="1" applyBorder="1" applyAlignment="1" applyProtection="1">
      <alignment horizontal="center"/>
      <protection hidden="1"/>
    </xf>
    <xf numFmtId="0" fontId="0" fillId="2" borderId="41" xfId="0" applyFill="1" applyBorder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0" fillId="0" borderId="0" xfId="2" applyNumberFormat="1" applyFont="1" applyAlignment="1" applyProtection="1">
      <alignment horizontal="center"/>
      <protection hidden="1"/>
    </xf>
    <xf numFmtId="10" fontId="0" fillId="0" borderId="13" xfId="2" applyNumberFormat="1" applyFont="1" applyBorder="1" applyAlignment="1" applyProtection="1">
      <alignment horizontal="center"/>
      <protection hidden="1"/>
    </xf>
    <xf numFmtId="40" fontId="0" fillId="0" borderId="13" xfId="0" applyNumberFormat="1" applyBorder="1" applyAlignment="1" applyProtection="1">
      <alignment horizontal="center"/>
      <protection hidden="1"/>
    </xf>
    <xf numFmtId="40" fontId="30" fillId="2" borderId="0" xfId="0" applyNumberFormat="1" applyFont="1" applyFill="1" applyBorder="1" applyAlignment="1" applyProtection="1">
      <alignment horizontal="center"/>
      <protection hidden="1"/>
    </xf>
    <xf numFmtId="40" fontId="0" fillId="2" borderId="6" xfId="0" applyNumberForma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43" fontId="0" fillId="2" borderId="1" xfId="1" applyFont="1" applyFill="1" applyBorder="1" applyAlignment="1" applyProtection="1">
      <alignment horizontal="center"/>
      <protection hidden="1"/>
    </xf>
    <xf numFmtId="167" fontId="0" fillId="4" borderId="7" xfId="0" applyNumberFormat="1" applyFill="1" applyBorder="1" applyAlignment="1" applyProtection="1">
      <alignment horizontal="center"/>
      <protection hidden="1"/>
    </xf>
    <xf numFmtId="165" fontId="0" fillId="4" borderId="7" xfId="1" applyNumberFormat="1" applyFont="1" applyFill="1" applyBorder="1" applyAlignment="1" applyProtection="1">
      <alignment horizontal="center"/>
      <protection hidden="1"/>
    </xf>
    <xf numFmtId="0" fontId="0" fillId="5" borderId="49" xfId="0" applyFill="1" applyBorder="1" applyAlignment="1" applyProtection="1">
      <alignment horizontal="center"/>
      <protection hidden="1"/>
    </xf>
    <xf numFmtId="40" fontId="0" fillId="5" borderId="50" xfId="1" applyNumberFormat="1" applyFont="1" applyFill="1" applyBorder="1" applyAlignment="1" applyProtection="1">
      <alignment horizontal="center"/>
      <protection hidden="1"/>
    </xf>
    <xf numFmtId="40" fontId="0" fillId="5" borderId="50" xfId="1" applyNumberFormat="1" applyFont="1" applyFill="1" applyBorder="1" applyAlignment="1" applyProtection="1">
      <alignment horizontal="right"/>
      <protection hidden="1"/>
    </xf>
    <xf numFmtId="10" fontId="0" fillId="5" borderId="50" xfId="2" applyNumberFormat="1" applyFont="1" applyFill="1" applyBorder="1" applyAlignment="1" applyProtection="1">
      <alignment horizontal="right"/>
      <protection hidden="1"/>
    </xf>
    <xf numFmtId="38" fontId="0" fillId="5" borderId="50" xfId="1" applyNumberFormat="1" applyFont="1" applyFill="1" applyBorder="1" applyAlignment="1" applyProtection="1">
      <alignment horizontal="center"/>
      <protection hidden="1"/>
    </xf>
    <xf numFmtId="40" fontId="0" fillId="2" borderId="15" xfId="0" applyNumberFormat="1" applyFill="1" applyBorder="1" applyAlignment="1" applyProtection="1">
      <alignment horizontal="left" indent="1"/>
      <protection hidden="1"/>
    </xf>
    <xf numFmtId="165" fontId="28" fillId="2" borderId="11" xfId="1" applyNumberFormat="1" applyFont="1" applyFill="1" applyBorder="1" applyAlignment="1" applyProtection="1">
      <alignment horizontal="left" indent="1"/>
      <protection hidden="1"/>
    </xf>
    <xf numFmtId="0" fontId="28" fillId="0" borderId="13" xfId="0" applyFont="1" applyBorder="1" applyAlignment="1" applyProtection="1">
      <alignment horizontal="center"/>
      <protection hidden="1"/>
    </xf>
    <xf numFmtId="40" fontId="28" fillId="2" borderId="13" xfId="1" applyNumberFormat="1" applyFont="1" applyFill="1" applyBorder="1" applyAlignment="1" applyProtection="1">
      <alignment horizontal="center"/>
      <protection hidden="1"/>
    </xf>
    <xf numFmtId="10" fontId="0" fillId="0" borderId="13" xfId="2" applyNumberFormat="1" applyFont="1" applyBorder="1" applyAlignment="1" applyProtection="1">
      <alignment horizontal="right"/>
      <protection hidden="1"/>
    </xf>
    <xf numFmtId="38" fontId="0" fillId="0" borderId="13" xfId="0" applyNumberFormat="1" applyBorder="1" applyAlignment="1" applyProtection="1">
      <alignment horizontal="center"/>
      <protection hidden="1"/>
    </xf>
    <xf numFmtId="40" fontId="0" fillId="0" borderId="13" xfId="0" applyNumberFormat="1" applyBorder="1" applyAlignment="1" applyProtection="1">
      <alignment horizontal="right"/>
      <protection hidden="1"/>
    </xf>
    <xf numFmtId="40" fontId="0" fillId="9" borderId="13" xfId="0" applyNumberFormat="1" applyFill="1" applyBorder="1" applyAlignment="1" applyProtection="1">
      <alignment horizontal="right"/>
      <protection hidden="1"/>
    </xf>
    <xf numFmtId="40" fontId="0" fillId="4" borderId="13" xfId="0" applyNumberFormat="1" applyFill="1" applyBorder="1" applyAlignment="1" applyProtection="1">
      <alignment horizontal="right"/>
      <protection hidden="1"/>
    </xf>
    <xf numFmtId="10" fontId="0" fillId="0" borderId="0" xfId="2" applyNumberFormat="1" applyFont="1" applyProtection="1">
      <protection hidden="1"/>
    </xf>
    <xf numFmtId="0" fontId="0" fillId="0" borderId="13" xfId="0" applyBorder="1" applyAlignment="1" applyProtection="1">
      <alignment horizontal="right"/>
      <protection hidden="1"/>
    </xf>
    <xf numFmtId="40" fontId="0" fillId="6" borderId="1" xfId="0" applyNumberFormat="1" applyFill="1" applyBorder="1" applyAlignment="1" applyProtection="1">
      <alignment horizontal="left" indent="1"/>
      <protection hidden="1"/>
    </xf>
    <xf numFmtId="167" fontId="0" fillId="0" borderId="1" xfId="0" applyNumberFormat="1" applyFill="1" applyBorder="1" applyAlignment="1" applyProtection="1">
      <alignment horizontal="center"/>
      <protection hidden="1"/>
    </xf>
    <xf numFmtId="165" fontId="0" fillId="0" borderId="1" xfId="1" applyNumberFormat="1" applyFont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40" fontId="0" fillId="0" borderId="1" xfId="1" applyNumberFormat="1" applyFont="1" applyFill="1" applyBorder="1" applyAlignment="1" applyProtection="1">
      <alignment horizontal="right"/>
      <protection hidden="1"/>
    </xf>
    <xf numFmtId="40" fontId="0" fillId="0" borderId="1" xfId="0" applyNumberFormat="1" applyFill="1" applyBorder="1" applyAlignment="1" applyProtection="1">
      <alignment horizontal="right"/>
      <protection hidden="1"/>
    </xf>
    <xf numFmtId="10" fontId="5" fillId="0" borderId="1" xfId="2" applyNumberFormat="1" applyFill="1" applyBorder="1" applyAlignment="1" applyProtection="1">
      <alignment horizontal="right"/>
      <protection hidden="1"/>
    </xf>
    <xf numFmtId="38" fontId="0" fillId="0" borderId="1" xfId="0" applyNumberFormat="1" applyFill="1" applyBorder="1" applyAlignment="1" applyProtection="1">
      <alignment horizontal="center"/>
      <protection hidden="1"/>
    </xf>
    <xf numFmtId="40" fontId="0" fillId="0" borderId="1" xfId="0" applyNumberFormat="1" applyBorder="1" applyProtection="1">
      <protection hidden="1"/>
    </xf>
    <xf numFmtId="40" fontId="0" fillId="0" borderId="1" xfId="0" applyNumberFormat="1" applyFill="1" applyBorder="1" applyProtection="1">
      <protection hidden="1"/>
    </xf>
    <xf numFmtId="10" fontId="0" fillId="0" borderId="1" xfId="2" applyNumberFormat="1" applyFont="1" applyBorder="1" applyProtection="1">
      <protection hidden="1"/>
    </xf>
    <xf numFmtId="0" fontId="0" fillId="0" borderId="1" xfId="0" applyBorder="1" applyProtection="1">
      <protection hidden="1"/>
    </xf>
    <xf numFmtId="40" fontId="0" fillId="6" borderId="1" xfId="1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7" fontId="0" fillId="0" borderId="1" xfId="0" applyNumberFormat="1" applyBorder="1" applyAlignment="1" applyProtection="1">
      <alignment horizontal="center"/>
      <protection hidden="1"/>
    </xf>
    <xf numFmtId="40" fontId="9" fillId="0" borderId="1" xfId="0" applyNumberFormat="1" applyFont="1" applyBorder="1" applyAlignment="1" applyProtection="1">
      <alignment horizontal="right"/>
      <protection hidden="1"/>
    </xf>
    <xf numFmtId="40" fontId="0" fillId="0" borderId="6" xfId="0" applyNumberFormat="1" applyBorder="1" applyProtection="1">
      <protection hidden="1"/>
    </xf>
    <xf numFmtId="40" fontId="0" fillId="0" borderId="0" xfId="0" applyNumberFormat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38" fontId="0" fillId="0" borderId="0" xfId="1" applyNumberFormat="1" applyFont="1" applyAlignment="1" applyProtection="1">
      <alignment horizontal="left" indent="1"/>
      <protection hidden="1"/>
    </xf>
    <xf numFmtId="38" fontId="0" fillId="0" borderId="0" xfId="0" applyNumberFormat="1" applyAlignment="1" applyProtection="1">
      <alignment horizontal="left" indent="1"/>
      <protection hidden="1"/>
    </xf>
    <xf numFmtId="38" fontId="0" fillId="0" borderId="0" xfId="2" applyNumberFormat="1" applyFont="1" applyAlignment="1" applyProtection="1">
      <alignment horizontal="left" indent="1"/>
      <protection hidden="1"/>
    </xf>
    <xf numFmtId="38" fontId="27" fillId="0" borderId="0" xfId="153" applyNumberFormat="1" applyBorder="1" applyProtection="1">
      <protection hidden="1"/>
    </xf>
    <xf numFmtId="38" fontId="0" fillId="0" borderId="39" xfId="1" applyNumberFormat="1" applyFont="1" applyBorder="1" applyAlignment="1" applyProtection="1">
      <alignment horizontal="center"/>
      <protection hidden="1"/>
    </xf>
    <xf numFmtId="38" fontId="0" fillId="2" borderId="41" xfId="0" applyNumberFormat="1" applyFill="1" applyBorder="1" applyAlignment="1" applyProtection="1">
      <alignment horizontal="center"/>
      <protection hidden="1"/>
    </xf>
    <xf numFmtId="38" fontId="0" fillId="0" borderId="41" xfId="0" applyNumberFormat="1" applyBorder="1" applyAlignment="1" applyProtection="1">
      <alignment horizontal="center"/>
      <protection hidden="1"/>
    </xf>
    <xf numFmtId="38" fontId="0" fillId="0" borderId="48" xfId="0" applyNumberFormat="1" applyBorder="1" applyAlignment="1" applyProtection="1">
      <alignment horizontal="center"/>
      <protection hidden="1"/>
    </xf>
    <xf numFmtId="38" fontId="0" fillId="0" borderId="38" xfId="0" applyNumberFormat="1" applyBorder="1" applyAlignment="1" applyProtection="1">
      <alignment horizontal="center"/>
      <protection hidden="1"/>
    </xf>
    <xf numFmtId="38" fontId="0" fillId="0" borderId="43" xfId="1" applyNumberFormat="1" applyFont="1" applyBorder="1" applyAlignment="1" applyProtection="1">
      <alignment horizontal="center"/>
      <protection hidden="1"/>
    </xf>
    <xf numFmtId="38" fontId="0" fillId="2" borderId="13" xfId="0" applyNumberFormat="1" applyFill="1" applyBorder="1" applyAlignment="1" applyProtection="1">
      <alignment horizontal="center"/>
      <protection hidden="1"/>
    </xf>
    <xf numFmtId="38" fontId="0" fillId="0" borderId="5" xfId="0" applyNumberFormat="1" applyBorder="1" applyAlignment="1" applyProtection="1">
      <alignment horizontal="center"/>
      <protection hidden="1"/>
    </xf>
    <xf numFmtId="38" fontId="0" fillId="2" borderId="0" xfId="2" applyNumberFormat="1" applyFont="1" applyFill="1" applyBorder="1" applyAlignment="1" applyProtection="1">
      <alignment horizontal="center"/>
      <protection hidden="1"/>
    </xf>
    <xf numFmtId="38" fontId="0" fillId="0" borderId="17" xfId="0" applyNumberFormat="1" applyBorder="1" applyAlignment="1" applyProtection="1">
      <alignment horizontal="center"/>
      <protection hidden="1"/>
    </xf>
    <xf numFmtId="38" fontId="31" fillId="3" borderId="15" xfId="0" applyNumberFormat="1" applyFont="1" applyFill="1" applyBorder="1" applyAlignment="1" applyProtection="1">
      <alignment horizontal="center"/>
      <protection hidden="1"/>
    </xf>
    <xf numFmtId="38" fontId="0" fillId="2" borderId="10" xfId="2" applyNumberFormat="1" applyFont="1" applyFill="1" applyBorder="1" applyAlignment="1" applyProtection="1">
      <alignment horizontal="center"/>
      <protection hidden="1"/>
    </xf>
    <xf numFmtId="38" fontId="39" fillId="3" borderId="36" xfId="1" applyNumberFormat="1" applyFont="1" applyFill="1" applyBorder="1" applyProtection="1">
      <protection hidden="1"/>
    </xf>
    <xf numFmtId="38" fontId="0" fillId="5" borderId="50" xfId="1" applyNumberFormat="1" applyFont="1" applyFill="1" applyBorder="1" applyAlignment="1" applyProtection="1">
      <alignment horizontal="right"/>
      <protection hidden="1"/>
    </xf>
    <xf numFmtId="38" fontId="0" fillId="5" borderId="50" xfId="2" applyNumberFormat="1" applyFont="1" applyFill="1" applyBorder="1" applyAlignment="1" applyProtection="1">
      <alignment horizontal="right"/>
      <protection hidden="1"/>
    </xf>
    <xf numFmtId="38" fontId="0" fillId="0" borderId="13" xfId="1" applyNumberFormat="1" applyFont="1" applyBorder="1" applyAlignment="1" applyProtection="1">
      <alignment horizontal="right"/>
      <protection hidden="1"/>
    </xf>
    <xf numFmtId="38" fontId="0" fillId="0" borderId="13" xfId="2" applyNumberFormat="1" applyFont="1" applyBorder="1" applyAlignment="1" applyProtection="1">
      <alignment horizontal="right"/>
      <protection hidden="1"/>
    </xf>
    <xf numFmtId="38" fontId="0" fillId="0" borderId="1" xfId="1" applyNumberFormat="1" applyFont="1" applyFill="1" applyBorder="1" applyAlignment="1" applyProtection="1">
      <alignment horizontal="right"/>
      <protection hidden="1"/>
    </xf>
    <xf numFmtId="38" fontId="0" fillId="0" borderId="1" xfId="0" applyNumberFormat="1" applyFill="1" applyBorder="1" applyAlignment="1" applyProtection="1">
      <alignment horizontal="right"/>
      <protection hidden="1"/>
    </xf>
    <xf numFmtId="38" fontId="5" fillId="0" borderId="1" xfId="2" applyNumberFormat="1" applyFill="1" applyBorder="1" applyAlignment="1" applyProtection="1">
      <alignment horizontal="right"/>
      <protection hidden="1"/>
    </xf>
    <xf numFmtId="38" fontId="0" fillId="0" borderId="0" xfId="1" applyNumberFormat="1" applyFont="1" applyProtection="1">
      <protection hidden="1"/>
    </xf>
    <xf numFmtId="38" fontId="0" fillId="0" borderId="0" xfId="0" applyNumberFormat="1" applyProtection="1">
      <protection hidden="1"/>
    </xf>
    <xf numFmtId="38" fontId="0" fillId="0" borderId="0" xfId="2" applyNumberFormat="1" applyFont="1" applyProtection="1">
      <protection hidden="1"/>
    </xf>
    <xf numFmtId="38" fontId="27" fillId="0" borderId="0" xfId="2" applyNumberFormat="1" applyFont="1" applyBorder="1" applyProtection="1">
      <protection hidden="1"/>
    </xf>
    <xf numFmtId="38" fontId="28" fillId="0" borderId="20" xfId="0" applyNumberFormat="1" applyFont="1" applyBorder="1" applyAlignment="1" applyProtection="1">
      <protection hidden="1"/>
    </xf>
    <xf numFmtId="38" fontId="0" fillId="0" borderId="41" xfId="0" applyNumberFormat="1" applyBorder="1" applyAlignment="1" applyProtection="1">
      <protection hidden="1"/>
    </xf>
    <xf numFmtId="38" fontId="0" fillId="0" borderId="13" xfId="0" applyNumberFormat="1" applyBorder="1" applyAlignment="1" applyProtection="1">
      <alignment horizontal="right"/>
      <protection hidden="1"/>
    </xf>
    <xf numFmtId="38" fontId="5" fillId="0" borderId="0" xfId="2" applyNumberFormat="1" applyBorder="1" applyProtection="1">
      <protection hidden="1"/>
    </xf>
    <xf numFmtId="38" fontId="0" fillId="4" borderId="1" xfId="0" applyNumberFormat="1" applyFill="1" applyBorder="1" applyAlignment="1" applyProtection="1">
      <alignment horizontal="right"/>
      <protection hidden="1"/>
    </xf>
    <xf numFmtId="38" fontId="0" fillId="0" borderId="37" xfId="0" applyNumberFormat="1" applyBorder="1" applyAlignment="1" applyProtection="1">
      <protection hidden="1"/>
    </xf>
    <xf numFmtId="38" fontId="0" fillId="0" borderId="1" xfId="0" applyNumberFormat="1" applyFill="1" applyBorder="1" applyProtection="1">
      <protection hidden="1"/>
    </xf>
    <xf numFmtId="38" fontId="28" fillId="0" borderId="21" xfId="0" applyNumberFormat="1" applyFont="1" applyBorder="1" applyAlignment="1" applyProtection="1">
      <protection hidden="1"/>
    </xf>
    <xf numFmtId="38" fontId="0" fillId="0" borderId="27" xfId="0" applyNumberFormat="1" applyBorder="1" applyAlignment="1" applyProtection="1">
      <alignment horizontal="center"/>
      <protection hidden="1"/>
    </xf>
    <xf numFmtId="38" fontId="0" fillId="0" borderId="0" xfId="1" applyNumberFormat="1" applyFont="1" applyAlignment="1" applyProtection="1">
      <alignment horizontal="right"/>
      <protection hidden="1"/>
    </xf>
    <xf numFmtId="38" fontId="28" fillId="0" borderId="0" xfId="1" applyNumberFormat="1" applyFont="1" applyBorder="1" applyAlignment="1" applyProtection="1">
      <alignment horizontal="right"/>
      <protection hidden="1"/>
    </xf>
    <xf numFmtId="38" fontId="0" fillId="0" borderId="0" xfId="1" applyNumberFormat="1" applyFont="1" applyFill="1" applyProtection="1">
      <protection hidden="1"/>
    </xf>
    <xf numFmtId="38" fontId="0" fillId="0" borderId="1" xfId="1" applyNumberFormat="1" applyFont="1" applyFill="1" applyBorder="1" applyProtection="1">
      <protection hidden="1"/>
    </xf>
    <xf numFmtId="38" fontId="0" fillId="0" borderId="0" xfId="0" applyNumberFormat="1" applyAlignment="1" applyProtection="1">
      <alignment horizontal="right"/>
      <protection hidden="1"/>
    </xf>
    <xf numFmtId="38" fontId="28" fillId="0" borderId="0" xfId="0" applyNumberFormat="1" applyFont="1" applyBorder="1" applyAlignment="1" applyProtection="1">
      <alignment horizontal="right"/>
      <protection hidden="1"/>
    </xf>
    <xf numFmtId="38" fontId="0" fillId="0" borderId="0" xfId="0" applyNumberFormat="1" applyFill="1" applyBorder="1" applyAlignment="1" applyProtection="1">
      <alignment horizontal="left" indent="1"/>
      <protection hidden="1"/>
    </xf>
    <xf numFmtId="38" fontId="29" fillId="0" borderId="0" xfId="0" applyNumberFormat="1" applyFont="1" applyFill="1" applyBorder="1" applyAlignment="1" applyProtection="1">
      <alignment horizontal="right"/>
      <protection hidden="1"/>
    </xf>
    <xf numFmtId="38" fontId="0" fillId="0" borderId="1" xfId="0" applyNumberFormat="1" applyBorder="1" applyProtection="1">
      <protection hidden="1"/>
    </xf>
    <xf numFmtId="38" fontId="0" fillId="0" borderId="0" xfId="0" applyNumberFormat="1" applyBorder="1" applyAlignment="1" applyProtection="1">
      <alignment horizontal="left" indent="1"/>
      <protection hidden="1"/>
    </xf>
    <xf numFmtId="38" fontId="0" fillId="0" borderId="39" xfId="0" applyNumberFormat="1" applyBorder="1" applyAlignment="1" applyProtection="1">
      <alignment horizontal="center"/>
      <protection hidden="1"/>
    </xf>
    <xf numFmtId="38" fontId="0" fillId="0" borderId="43" xfId="0" applyNumberFormat="1" applyBorder="1" applyAlignment="1" applyProtection="1">
      <alignment horizontal="center"/>
      <protection hidden="1"/>
    </xf>
    <xf numFmtId="38" fontId="0" fillId="0" borderId="0" xfId="0" applyNumberFormat="1" applyBorder="1" applyAlignment="1" applyProtection="1">
      <alignment horizontal="center"/>
      <protection hidden="1"/>
    </xf>
    <xf numFmtId="38" fontId="28" fillId="0" borderId="0" xfId="0" applyNumberFormat="1" applyFont="1" applyBorder="1" applyAlignment="1" applyProtection="1">
      <alignment horizontal="center"/>
      <protection hidden="1"/>
    </xf>
    <xf numFmtId="38" fontId="24" fillId="7" borderId="25" xfId="0" applyNumberFormat="1" applyFont="1" applyFill="1" applyBorder="1" applyAlignment="1" applyProtection="1">
      <alignment horizontal="center"/>
      <protection hidden="1"/>
    </xf>
    <xf numFmtId="38" fontId="28" fillId="7" borderId="23" xfId="0" applyNumberFormat="1" applyFont="1" applyFill="1" applyBorder="1" applyAlignment="1" applyProtection="1">
      <alignment horizontal="center"/>
      <protection hidden="1"/>
    </xf>
    <xf numFmtId="38" fontId="0" fillId="7" borderId="26" xfId="2" applyNumberFormat="1" applyFont="1" applyFill="1" applyBorder="1" applyAlignment="1" applyProtection="1">
      <alignment horizontal="center"/>
      <protection hidden="1"/>
    </xf>
    <xf numFmtId="38" fontId="38" fillId="7" borderId="24" xfId="2" applyNumberFormat="1" applyFont="1" applyFill="1" applyBorder="1" applyAlignment="1" applyProtection="1">
      <alignment horizontal="center"/>
      <protection hidden="1"/>
    </xf>
    <xf numFmtId="38" fontId="29" fillId="0" borderId="18" xfId="0" applyNumberFormat="1" applyFont="1" applyFill="1" applyBorder="1" applyAlignment="1" applyProtection="1">
      <alignment horizontal="right"/>
      <protection hidden="1"/>
    </xf>
    <xf numFmtId="38" fontId="0" fillId="5" borderId="51" xfId="1" applyNumberFormat="1" applyFont="1" applyFill="1" applyBorder="1" applyAlignment="1" applyProtection="1">
      <alignment horizontal="right"/>
      <protection hidden="1"/>
    </xf>
    <xf numFmtId="38" fontId="0" fillId="0" borderId="17" xfId="0" applyNumberFormat="1" applyBorder="1" applyAlignment="1" applyProtection="1">
      <alignment horizontal="right"/>
      <protection hidden="1"/>
    </xf>
    <xf numFmtId="38" fontId="0" fillId="0" borderId="3" xfId="0" applyNumberFormat="1" applyBorder="1" applyProtection="1">
      <protection hidden="1"/>
    </xf>
    <xf numFmtId="38" fontId="0" fillId="0" borderId="13" xfId="0" applyNumberFormat="1" applyFill="1" applyBorder="1" applyAlignment="1" applyProtection="1">
      <alignment horizontal="right"/>
      <protection hidden="1"/>
    </xf>
    <xf numFmtId="38" fontId="35" fillId="0" borderId="41" xfId="0" applyNumberFormat="1" applyFont="1" applyBorder="1" applyAlignment="1" applyProtection="1">
      <alignment horizontal="center"/>
      <protection hidden="1"/>
    </xf>
    <xf numFmtId="40" fontId="35" fillId="2" borderId="41" xfId="0" applyNumberFormat="1" applyFont="1" applyFill="1" applyBorder="1" applyAlignment="1" applyProtection="1">
      <alignment horizontal="center"/>
      <protection hidden="1"/>
    </xf>
    <xf numFmtId="38" fontId="35" fillId="0" borderId="42" xfId="0" applyNumberFormat="1" applyFont="1" applyBorder="1" applyAlignment="1" applyProtection="1">
      <alignment horizontal="center"/>
      <protection hidden="1"/>
    </xf>
    <xf numFmtId="38" fontId="40" fillId="0" borderId="39" xfId="0" applyNumberFormat="1" applyFont="1" applyBorder="1" applyAlignment="1" applyProtection="1">
      <alignment horizontal="center"/>
      <protection hidden="1"/>
    </xf>
    <xf numFmtId="38" fontId="40" fillId="0" borderId="43" xfId="0" applyNumberFormat="1" applyFont="1" applyBorder="1" applyAlignment="1" applyProtection="1">
      <alignment horizontal="center"/>
      <protection hidden="1"/>
    </xf>
    <xf numFmtId="38" fontId="27" fillId="0" borderId="43" xfId="0" applyNumberFormat="1" applyFont="1" applyBorder="1" applyAlignment="1" applyProtection="1">
      <alignment horizontal="center"/>
      <protection hidden="1"/>
    </xf>
    <xf numFmtId="38" fontId="35" fillId="0" borderId="39" xfId="1" applyNumberFormat="1" applyFont="1" applyBorder="1" applyAlignment="1" applyProtection="1">
      <alignment horizontal="center"/>
      <protection hidden="1"/>
    </xf>
    <xf numFmtId="38" fontId="35" fillId="0" borderId="43" xfId="1" applyNumberFormat="1" applyFont="1" applyBorder="1" applyAlignment="1" applyProtection="1">
      <alignment horizontal="center"/>
      <protection hidden="1"/>
    </xf>
    <xf numFmtId="38" fontId="35" fillId="0" borderId="13" xfId="0" applyNumberFormat="1" applyFont="1" applyBorder="1" applyAlignment="1" applyProtection="1">
      <alignment horizontal="center"/>
      <protection hidden="1"/>
    </xf>
    <xf numFmtId="38" fontId="35" fillId="0" borderId="4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4" fontId="0" fillId="0" borderId="0" xfId="0" applyNumberFormat="1" applyAlignment="1" applyProtection="1">
      <alignment horizontal="left"/>
      <protection hidden="1"/>
    </xf>
    <xf numFmtId="168" fontId="0" fillId="7" borderId="0" xfId="2" applyNumberFormat="1" applyFont="1" applyFill="1" applyBorder="1" applyAlignment="1" applyProtection="1">
      <alignment horizontal="center"/>
      <protection hidden="1"/>
    </xf>
    <xf numFmtId="38" fontId="28" fillId="8" borderId="0" xfId="0" applyNumberFormat="1" applyFont="1" applyFill="1" applyBorder="1" applyAlignment="1" applyProtection="1">
      <alignment horizontal="center"/>
      <protection hidden="1"/>
    </xf>
    <xf numFmtId="40" fontId="0" fillId="8" borderId="0" xfId="0" applyNumberFormat="1" applyFill="1" applyProtection="1">
      <protection hidden="1"/>
    </xf>
    <xf numFmtId="38" fontId="38" fillId="8" borderId="0" xfId="2" applyNumberFormat="1" applyFont="1" applyFill="1" applyBorder="1" applyAlignment="1" applyProtection="1">
      <alignment horizontal="center"/>
      <protection hidden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1450" applyAlignment="1">
      <alignment horizontal="center"/>
    </xf>
    <xf numFmtId="0" fontId="0" fillId="0" borderId="0" xfId="0" applyAlignment="1">
      <alignment vertical="center" wrapText="1"/>
    </xf>
    <xf numFmtId="0" fontId="0" fillId="11" borderId="3" xfId="0" applyFill="1" applyBorder="1" applyAlignment="1" applyProtection="1">
      <alignment horizontal="center"/>
      <protection hidden="1"/>
    </xf>
    <xf numFmtId="10" fontId="0" fillId="11" borderId="6" xfId="0" applyNumberFormat="1" applyFill="1" applyBorder="1" applyProtection="1">
      <protection hidden="1"/>
    </xf>
    <xf numFmtId="0" fontId="23" fillId="11" borderId="0" xfId="0" applyFont="1" applyFill="1"/>
    <xf numFmtId="0" fontId="42" fillId="0" borderId="0" xfId="1450" applyFont="1" applyAlignment="1"/>
    <xf numFmtId="0" fontId="43" fillId="0" borderId="0" xfId="1450" applyFont="1" applyAlignment="1"/>
    <xf numFmtId="0" fontId="6" fillId="0" borderId="0" xfId="1450"/>
    <xf numFmtId="0" fontId="44" fillId="0" borderId="0" xfId="1450" applyFont="1" applyAlignment="1"/>
    <xf numFmtId="0" fontId="44" fillId="0" borderId="0" xfId="1450" applyFont="1" applyAlignment="1">
      <alignment horizontal="center"/>
    </xf>
    <xf numFmtId="0" fontId="44" fillId="0" borderId="0" xfId="1450" applyFont="1" applyAlignment="1">
      <alignment horizontal="right"/>
    </xf>
    <xf numFmtId="38" fontId="0" fillId="0" borderId="6" xfId="0" applyNumberFormat="1" applyBorder="1" applyAlignment="1" applyProtection="1">
      <alignment horizontal="center"/>
      <protection hidden="1"/>
    </xf>
    <xf numFmtId="38" fontId="46" fillId="0" borderId="1" xfId="1450" applyNumberFormat="1" applyFont="1" applyBorder="1" applyAlignment="1" applyProtection="1">
      <alignment horizontal="center" shrinkToFit="1"/>
      <protection hidden="1"/>
    </xf>
    <xf numFmtId="0" fontId="19" fillId="0" borderId="0" xfId="0" applyFont="1" applyAlignment="1">
      <alignment horizontal="center"/>
    </xf>
    <xf numFmtId="168" fontId="0" fillId="0" borderId="2" xfId="2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right"/>
    </xf>
    <xf numFmtId="0" fontId="0" fillId="8" borderId="0" xfId="0" applyFont="1" applyFill="1" applyAlignment="1">
      <alignment vertical="center" textRotation="90" wrapText="1"/>
    </xf>
    <xf numFmtId="0" fontId="0" fillId="12" borderId="0" xfId="0" applyFill="1"/>
    <xf numFmtId="0" fontId="0" fillId="12" borderId="0" xfId="0" applyFill="1" applyBorder="1"/>
    <xf numFmtId="170" fontId="35" fillId="12" borderId="0" xfId="0" applyNumberFormat="1" applyFont="1" applyFill="1" applyBorder="1" applyAlignment="1" applyProtection="1">
      <alignment horizontal="right"/>
      <protection locked="0"/>
    </xf>
    <xf numFmtId="0" fontId="0" fillId="12" borderId="0" xfId="0" applyFill="1" applyAlignment="1">
      <alignment horizontal="left"/>
    </xf>
    <xf numFmtId="0" fontId="0" fillId="12" borderId="0" xfId="0" applyFont="1" applyFill="1" applyBorder="1" applyAlignment="1" applyProtection="1">
      <alignment horizontal="left"/>
      <protection locked="0"/>
    </xf>
    <xf numFmtId="0" fontId="0" fillId="12" borderId="0" xfId="0" applyFont="1" applyFill="1" applyAlignment="1">
      <alignment vertical="center" textRotation="90" wrapText="1"/>
    </xf>
    <xf numFmtId="0" fontId="0" fillId="0" borderId="0" xfId="0" applyFont="1" applyFill="1" applyBorder="1" applyAlignment="1" applyProtection="1">
      <protection locked="0"/>
    </xf>
    <xf numFmtId="0" fontId="49" fillId="0" borderId="0" xfId="0" applyFont="1"/>
    <xf numFmtId="0" fontId="51" fillId="8" borderId="0" xfId="0" applyFont="1" applyFill="1" applyBorder="1" applyAlignment="1">
      <alignment horizontal="right" vertical="center" shrinkToFit="1"/>
    </xf>
    <xf numFmtId="168" fontId="52" fillId="8" borderId="0" xfId="2" applyNumberFormat="1" applyFont="1" applyFill="1" applyBorder="1" applyAlignment="1">
      <alignment horizontal="center" vertical="center" shrinkToFit="1"/>
    </xf>
    <xf numFmtId="0" fontId="51" fillId="8" borderId="0" xfId="0" applyFont="1" applyFill="1" applyBorder="1" applyAlignment="1" applyProtection="1">
      <alignment horizontal="right"/>
      <protection locked="0"/>
    </xf>
    <xf numFmtId="168" fontId="52" fillId="8" borderId="0" xfId="2" applyNumberFormat="1" applyFont="1" applyFill="1" applyBorder="1" applyAlignment="1">
      <alignment horizontal="center"/>
    </xf>
    <xf numFmtId="168" fontId="52" fillId="8" borderId="0" xfId="0" applyNumberFormat="1" applyFont="1" applyFill="1" applyBorder="1" applyAlignment="1">
      <alignment horizontal="center"/>
    </xf>
    <xf numFmtId="0" fontId="51" fillId="8" borderId="0" xfId="0" applyFont="1" applyFill="1" applyAlignment="1">
      <alignment horizontal="right"/>
    </xf>
    <xf numFmtId="170" fontId="52" fillId="8" borderId="0" xfId="0" applyNumberFormat="1" applyFont="1" applyFill="1" applyBorder="1" applyAlignment="1" applyProtection="1">
      <alignment horizontal="center"/>
      <protection locked="0"/>
    </xf>
    <xf numFmtId="14" fontId="0" fillId="10" borderId="1" xfId="0" applyNumberFormat="1" applyFont="1" applyFill="1" applyBorder="1" applyAlignment="1" applyProtection="1">
      <alignment horizontal="center"/>
      <protection locked="0"/>
    </xf>
    <xf numFmtId="167" fontId="0" fillId="10" borderId="1" xfId="0" applyNumberFormat="1" applyFont="1" applyFill="1" applyBorder="1" applyAlignment="1" applyProtection="1">
      <alignment horizontal="center"/>
      <protection locked="0"/>
    </xf>
    <xf numFmtId="10" fontId="0" fillId="10" borderId="3" xfId="0" applyNumberFormat="1" applyFont="1" applyFill="1" applyBorder="1" applyProtection="1">
      <protection locked="0"/>
    </xf>
    <xf numFmtId="43" fontId="0" fillId="10" borderId="3" xfId="1" applyFont="1" applyFill="1" applyBorder="1" applyProtection="1">
      <protection locked="0"/>
    </xf>
    <xf numFmtId="0" fontId="0" fillId="10" borderId="3" xfId="0" applyFont="1" applyFill="1" applyBorder="1" applyProtection="1">
      <protection locked="0"/>
    </xf>
    <xf numFmtId="43" fontId="0" fillId="10" borderId="3" xfId="0" applyNumberFormat="1" applyFont="1" applyFill="1" applyBorder="1" applyProtection="1">
      <protection locked="0"/>
    </xf>
    <xf numFmtId="43" fontId="0" fillId="10" borderId="1" xfId="1" applyFont="1" applyFill="1" applyBorder="1" applyProtection="1">
      <protection locked="0"/>
    </xf>
    <xf numFmtId="166" fontId="0" fillId="10" borderId="1" xfId="0" applyNumberFormat="1" applyFont="1" applyFill="1" applyBorder="1" applyProtection="1">
      <protection locked="0"/>
    </xf>
    <xf numFmtId="10" fontId="0" fillId="10" borderId="2" xfId="2" applyNumberFormat="1" applyFont="1" applyFill="1" applyBorder="1" applyProtection="1">
      <protection locked="0"/>
    </xf>
    <xf numFmtId="0" fontId="0" fillId="10" borderId="1" xfId="0" applyFont="1" applyFill="1" applyBorder="1" applyProtection="1">
      <protection locked="0"/>
    </xf>
    <xf numFmtId="166" fontId="0" fillId="10" borderId="3" xfId="0" applyNumberFormat="1" applyFont="1" applyFill="1" applyBorder="1" applyProtection="1">
      <protection locked="0"/>
    </xf>
    <xf numFmtId="165" fontId="0" fillId="10" borderId="3" xfId="1" applyNumberFormat="1" applyFont="1" applyFill="1" applyBorder="1" applyProtection="1">
      <protection locked="0"/>
    </xf>
    <xf numFmtId="10" fontId="0" fillId="10" borderId="1" xfId="0" applyNumberFormat="1" applyFont="1" applyFill="1" applyBorder="1" applyProtection="1">
      <protection locked="0"/>
    </xf>
    <xf numFmtId="10" fontId="0" fillId="10" borderId="4" xfId="0" applyNumberFormat="1" applyFont="1" applyFill="1" applyBorder="1" applyProtection="1">
      <protection locked="0"/>
    </xf>
    <xf numFmtId="0" fontId="0" fillId="10" borderId="1" xfId="0" applyFont="1" applyFill="1" applyBorder="1" applyAlignment="1" applyProtection="1">
      <alignment horizontal="center"/>
      <protection locked="0"/>
    </xf>
    <xf numFmtId="166" fontId="0" fillId="10" borderId="3" xfId="1" applyNumberFormat="1" applyFont="1" applyFill="1" applyBorder="1" applyProtection="1">
      <protection locked="0"/>
    </xf>
    <xf numFmtId="0" fontId="0" fillId="10" borderId="1" xfId="0" applyNumberFormat="1" applyFont="1" applyFill="1" applyBorder="1" applyAlignment="1" applyProtection="1">
      <alignment horizontal="center"/>
      <protection locked="0"/>
    </xf>
    <xf numFmtId="0" fontId="0" fillId="10" borderId="1" xfId="1" applyNumberFormat="1" applyFont="1" applyFill="1" applyBorder="1" applyAlignment="1" applyProtection="1">
      <alignment horizontal="center"/>
      <protection locked="0"/>
    </xf>
    <xf numFmtId="10" fontId="0" fillId="10" borderId="3" xfId="0" applyNumberFormat="1" applyFont="1" applyFill="1" applyBorder="1" applyAlignment="1" applyProtection="1">
      <alignment horizontal="center"/>
      <protection locked="0"/>
    </xf>
    <xf numFmtId="0" fontId="0" fillId="10" borderId="4" xfId="0" applyFont="1" applyFill="1" applyBorder="1" applyAlignment="1" applyProtection="1">
      <alignment horizontal="center"/>
      <protection locked="0"/>
    </xf>
    <xf numFmtId="10" fontId="0" fillId="10" borderId="4" xfId="0" applyNumberFormat="1" applyFont="1" applyFill="1" applyBorder="1" applyAlignment="1" applyProtection="1">
      <alignment horizontal="center"/>
      <protection locked="0"/>
    </xf>
    <xf numFmtId="10" fontId="0" fillId="10" borderId="1" xfId="2" applyNumberFormat="1" applyFont="1" applyFill="1" applyBorder="1" applyProtection="1">
      <protection locked="0"/>
    </xf>
    <xf numFmtId="0" fontId="0" fillId="10" borderId="3" xfId="0" applyFont="1" applyFill="1" applyBorder="1" applyAlignment="1" applyProtection="1">
      <alignment horizontal="center"/>
      <protection locked="0"/>
    </xf>
    <xf numFmtId="0" fontId="0" fillId="10" borderId="3" xfId="1" applyNumberFormat="1" applyFont="1" applyFill="1" applyBorder="1" applyAlignment="1" applyProtection="1">
      <alignment horizontal="right"/>
      <protection locked="0"/>
    </xf>
    <xf numFmtId="9" fontId="0" fillId="10" borderId="3" xfId="2" applyNumberFormat="1" applyFont="1" applyFill="1" applyBorder="1" applyProtection="1">
      <protection locked="0"/>
    </xf>
    <xf numFmtId="43" fontId="53" fillId="0" borderId="0" xfId="1" applyFont="1" applyAlignment="1">
      <alignment horizontal="center"/>
    </xf>
    <xf numFmtId="167" fontId="23" fillId="0" borderId="9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Alignment="1">
      <alignment horizontal="right"/>
    </xf>
    <xf numFmtId="43" fontId="13" fillId="0" borderId="0" xfId="1" applyFont="1" applyAlignment="1">
      <alignment horizontal="center"/>
    </xf>
    <xf numFmtId="43" fontId="0" fillId="0" borderId="1" xfId="1" applyFont="1" applyBorder="1"/>
    <xf numFmtId="43" fontId="0" fillId="0" borderId="7" xfId="1" applyFont="1" applyBorder="1"/>
    <xf numFmtId="43" fontId="0" fillId="0" borderId="3" xfId="1" applyFont="1" applyBorder="1"/>
    <xf numFmtId="43" fontId="0" fillId="0" borderId="2" xfId="1" applyFont="1" applyBorder="1"/>
    <xf numFmtId="43" fontId="0" fillId="0" borderId="1" xfId="1" applyFont="1" applyBorder="1" applyAlignment="1">
      <alignment horizontal="center"/>
    </xf>
    <xf numFmtId="43" fontId="0" fillId="10" borderId="2" xfId="1" applyFont="1" applyFill="1" applyBorder="1" applyProtection="1">
      <protection locked="0"/>
    </xf>
    <xf numFmtId="168" fontId="0" fillId="0" borderId="2" xfId="2" applyNumberFormat="1" applyFont="1" applyBorder="1"/>
    <xf numFmtId="43" fontId="0" fillId="0" borderId="4" xfId="1" applyFont="1" applyBorder="1"/>
    <xf numFmtId="165" fontId="0" fillId="0" borderId="3" xfId="1" applyNumberFormat="1" applyFont="1" applyBorder="1"/>
    <xf numFmtId="165" fontId="0" fillId="0" borderId="2" xfId="1" applyNumberFormat="1" applyFont="1" applyBorder="1"/>
    <xf numFmtId="43" fontId="0" fillId="0" borderId="17" xfId="1" applyFont="1" applyBorder="1"/>
    <xf numFmtId="43" fontId="0" fillId="0" borderId="18" xfId="1" applyFont="1" applyBorder="1"/>
    <xf numFmtId="43" fontId="0" fillId="0" borderId="9" xfId="1" applyFont="1" applyBorder="1"/>
    <xf numFmtId="165" fontId="0" fillId="10" borderId="2" xfId="1" applyNumberFormat="1" applyFont="1" applyFill="1" applyBorder="1" applyProtection="1">
      <protection locked="0"/>
    </xf>
    <xf numFmtId="43" fontId="4" fillId="10" borderId="2" xfId="1" applyFont="1" applyFill="1" applyBorder="1" applyProtection="1">
      <protection locked="0"/>
    </xf>
    <xf numFmtId="43" fontId="0" fillId="0" borderId="0" xfId="1" applyFont="1" applyProtection="1">
      <protection locked="0"/>
    </xf>
    <xf numFmtId="174" fontId="0" fillId="0" borderId="0" xfId="1" applyNumberFormat="1" applyFont="1" applyProtection="1">
      <protection locked="0"/>
    </xf>
    <xf numFmtId="175" fontId="0" fillId="0" borderId="0" xfId="1" applyNumberFormat="1" applyFont="1" applyProtection="1">
      <protection locked="0"/>
    </xf>
    <xf numFmtId="43" fontId="24" fillId="0" borderId="8" xfId="1" applyFont="1" applyBorder="1" applyAlignment="1">
      <alignment horizontal="center"/>
    </xf>
    <xf numFmtId="43" fontId="24" fillId="0" borderId="1" xfId="1" applyFont="1" applyBorder="1"/>
    <xf numFmtId="43" fontId="24" fillId="0" borderId="1" xfId="1" applyFont="1" applyBorder="1" applyAlignment="1">
      <alignment horizontal="center"/>
    </xf>
    <xf numFmtId="43" fontId="24" fillId="0" borderId="3" xfId="1" applyFont="1" applyBorder="1"/>
    <xf numFmtId="43" fontId="24" fillId="0" borderId="4" xfId="1" applyFont="1" applyBorder="1"/>
    <xf numFmtId="43" fontId="24" fillId="0" borderId="2" xfId="1" applyFont="1" applyBorder="1"/>
    <xf numFmtId="43" fontId="9" fillId="0" borderId="3" xfId="0" applyNumberFormat="1" applyFont="1" applyBorder="1"/>
    <xf numFmtId="43" fontId="0" fillId="0" borderId="8" xfId="0" applyNumberFormat="1" applyFill="1" applyBorder="1" applyProtection="1">
      <protection hidden="1"/>
    </xf>
    <xf numFmtId="0" fontId="9" fillId="0" borderId="0" xfId="0" applyNumberFormat="1" applyFont="1" applyAlignment="1">
      <alignment horizontal="right"/>
    </xf>
    <xf numFmtId="43" fontId="0" fillId="0" borderId="0" xfId="1" applyFont="1" applyBorder="1" applyAlignment="1">
      <alignment horizontal="center"/>
    </xf>
    <xf numFmtId="166" fontId="0" fillId="8" borderId="0" xfId="1" applyNumberFormat="1" applyFont="1" applyFill="1" applyBorder="1" applyProtection="1">
      <protection locked="0"/>
    </xf>
    <xf numFmtId="165" fontId="35" fillId="0" borderId="0" xfId="1" applyNumberFormat="1" applyFont="1"/>
    <xf numFmtId="165" fontId="0" fillId="0" borderId="0" xfId="1" applyNumberFormat="1" applyFont="1"/>
    <xf numFmtId="43" fontId="35" fillId="0" borderId="0" xfId="1" applyFont="1" applyAlignment="1">
      <alignment horizontal="center"/>
    </xf>
    <xf numFmtId="43" fontId="57" fillId="0" borderId="1" xfId="1" applyFont="1" applyBorder="1" applyAlignment="1">
      <alignment horizontal="center"/>
    </xf>
    <xf numFmtId="43" fontId="57" fillId="0" borderId="2" xfId="1" applyFont="1" applyBorder="1" applyAlignment="1">
      <alignment horizontal="center"/>
    </xf>
    <xf numFmtId="0" fontId="58" fillId="8" borderId="0" xfId="1450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38" fontId="54" fillId="8" borderId="17" xfId="1450" applyNumberFormat="1" applyFont="1" applyFill="1" applyBorder="1" applyAlignment="1" applyProtection="1">
      <alignment horizontal="center" shrinkToFit="1"/>
      <protection hidden="1"/>
    </xf>
    <xf numFmtId="38" fontId="54" fillId="0" borderId="1" xfId="1450" applyNumberFormat="1" applyFont="1" applyBorder="1" applyAlignment="1" applyProtection="1">
      <alignment horizontal="center" shrinkToFit="1"/>
      <protection hidden="1"/>
    </xf>
    <xf numFmtId="0" fontId="61" fillId="0" borderId="0" xfId="1450" applyFont="1" applyAlignment="1">
      <alignment horizontal="center"/>
    </xf>
    <xf numFmtId="0" fontId="53" fillId="0" borderId="4" xfId="0" applyFont="1" applyBorder="1"/>
    <xf numFmtId="10" fontId="0" fillId="10" borderId="3" xfId="2" applyNumberFormat="1" applyFont="1" applyFill="1" applyBorder="1" applyProtection="1">
      <protection locked="0"/>
    </xf>
    <xf numFmtId="0" fontId="0" fillId="8" borderId="0" xfId="0" applyFont="1" applyFill="1" applyAlignment="1">
      <alignment horizontal="right"/>
    </xf>
    <xf numFmtId="0" fontId="0" fillId="0" borderId="0" xfId="0" applyAlignment="1" applyProtection="1">
      <alignment horizontal="right" vertical="top"/>
      <protection hidden="1"/>
    </xf>
    <xf numFmtId="0" fontId="62" fillId="8" borderId="0" xfId="0" applyFont="1" applyFill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8" fillId="0" borderId="0" xfId="0" applyFont="1" applyBorder="1" applyAlignment="1"/>
    <xf numFmtId="0" fontId="14" fillId="0" borderId="0" xfId="0" applyFont="1"/>
    <xf numFmtId="4" fontId="3" fillId="10" borderId="1" xfId="1" applyNumberFormat="1" applyFont="1" applyFill="1" applyBorder="1" applyProtection="1">
      <protection locked="0"/>
    </xf>
    <xf numFmtId="4" fontId="3" fillId="10" borderId="5" xfId="1" applyNumberFormat="1" applyFont="1" applyFill="1" applyBorder="1" applyProtection="1">
      <protection locked="0"/>
    </xf>
    <xf numFmtId="4" fontId="3" fillId="0" borderId="1" xfId="1" applyNumberFormat="1" applyFont="1" applyBorder="1" applyProtection="1"/>
    <xf numFmtId="4" fontId="3" fillId="0" borderId="1" xfId="0" applyNumberFormat="1" applyFont="1" applyBorder="1" applyAlignment="1" applyProtection="1">
      <alignment horizontal="right" indent="1"/>
    </xf>
    <xf numFmtId="4" fontId="3" fillId="0" borderId="4" xfId="0" applyNumberFormat="1" applyFont="1" applyBorder="1" applyAlignment="1" applyProtection="1">
      <alignment horizontal="right" indent="1"/>
    </xf>
    <xf numFmtId="4" fontId="24" fillId="0" borderId="1" xfId="0" applyNumberFormat="1" applyFont="1" applyBorder="1" applyAlignment="1" applyProtection="1">
      <alignment horizontal="center"/>
    </xf>
    <xf numFmtId="166" fontId="0" fillId="0" borderId="0" xfId="1" applyNumberFormat="1" applyFont="1" applyProtection="1"/>
    <xf numFmtId="43" fontId="0" fillId="0" borderId="7" xfId="1" applyFont="1" applyBorder="1" applyProtection="1">
      <protection locked="0"/>
    </xf>
    <xf numFmtId="43" fontId="24" fillId="0" borderId="7" xfId="1" applyFont="1" applyBorder="1" applyProtection="1">
      <protection locked="0"/>
    </xf>
    <xf numFmtId="170" fontId="24" fillId="0" borderId="7" xfId="1" applyNumberFormat="1" applyFont="1" applyBorder="1" applyProtection="1"/>
    <xf numFmtId="0" fontId="0" fillId="8" borderId="0" xfId="0" applyFill="1"/>
    <xf numFmtId="0" fontId="64" fillId="0" borderId="0" xfId="0" applyFont="1"/>
    <xf numFmtId="0" fontId="65" fillId="0" borderId="0" xfId="1450" applyFont="1" applyAlignment="1">
      <alignment horizontal="center"/>
    </xf>
    <xf numFmtId="166" fontId="24" fillId="0" borderId="15" xfId="0" applyNumberFormat="1" applyFont="1" applyBorder="1" applyProtection="1">
      <protection hidden="1"/>
    </xf>
    <xf numFmtId="166" fontId="24" fillId="0" borderId="14" xfId="0" applyNumberFormat="1" applyFont="1" applyBorder="1" applyProtection="1">
      <protection hidden="1"/>
    </xf>
    <xf numFmtId="43" fontId="67" fillId="0" borderId="4" xfId="1" applyFont="1" applyBorder="1" applyAlignment="1">
      <alignment horizontal="right"/>
    </xf>
    <xf numFmtId="0" fontId="28" fillId="0" borderId="3" xfId="0" applyFont="1" applyBorder="1" applyAlignment="1"/>
    <xf numFmtId="43" fontId="68" fillId="0" borderId="4" xfId="0" applyNumberFormat="1" applyFont="1" applyBorder="1" applyAlignment="1">
      <alignment horizontal="right"/>
    </xf>
    <xf numFmtId="38" fontId="28" fillId="0" borderId="19" xfId="0" applyNumberFormat="1" applyFont="1" applyBorder="1" applyAlignment="1" applyProtection="1">
      <protection hidden="1"/>
    </xf>
    <xf numFmtId="38" fontId="69" fillId="0" borderId="17" xfId="1450" applyNumberFormat="1" applyFont="1" applyBorder="1" applyAlignment="1" applyProtection="1">
      <alignment horizontal="center" shrinkToFit="1"/>
      <protection hidden="1"/>
    </xf>
    <xf numFmtId="0" fontId="70" fillId="0" borderId="0" xfId="0" applyFont="1"/>
    <xf numFmtId="10" fontId="0" fillId="0" borderId="0" xfId="0" applyNumberFormat="1" applyFill="1"/>
    <xf numFmtId="2" fontId="39" fillId="0" borderId="0" xfId="2" applyNumberFormat="1" applyFont="1" applyFill="1" applyBorder="1" applyProtection="1">
      <protection hidden="1"/>
    </xf>
    <xf numFmtId="0" fontId="0" fillId="0" borderId="0" xfId="0" applyFill="1" applyAlignment="1">
      <alignment horizontal="right"/>
    </xf>
    <xf numFmtId="172" fontId="0" fillId="10" borderId="0" xfId="2" applyNumberFormat="1" applyFont="1" applyFill="1" applyAlignment="1" applyProtection="1">
      <alignment horizontal="center"/>
      <protection locked="0"/>
    </xf>
    <xf numFmtId="172" fontId="0" fillId="0" borderId="0" xfId="2" applyNumberFormat="1" applyFont="1" applyFill="1" applyAlignment="1">
      <alignment horizontal="center"/>
    </xf>
    <xf numFmtId="0" fontId="0" fillId="0" borderId="0" xfId="0" applyFont="1"/>
    <xf numFmtId="166" fontId="0" fillId="0" borderId="0" xfId="1" applyNumberFormat="1" applyFont="1" applyFill="1" applyBorder="1" applyProtection="1">
      <protection locked="0"/>
    </xf>
    <xf numFmtId="10" fontId="0" fillId="0" borderId="1" xfId="2" applyNumberFormat="1" applyFont="1" applyBorder="1" applyAlignment="1"/>
    <xf numFmtId="10" fontId="0" fillId="0" borderId="0" xfId="0" applyNumberFormat="1"/>
    <xf numFmtId="0" fontId="72" fillId="0" borderId="0" xfId="153" applyFont="1" applyBorder="1" applyAlignment="1">
      <alignment horizontal="right"/>
    </xf>
    <xf numFmtId="0" fontId="0" fillId="0" borderId="17" xfId="0" applyBorder="1"/>
    <xf numFmtId="165" fontId="0" fillId="0" borderId="0" xfId="0" applyNumberFormat="1" applyBorder="1"/>
    <xf numFmtId="10" fontId="0" fillId="0" borderId="0" xfId="0" applyNumberFormat="1" applyBorder="1"/>
    <xf numFmtId="10" fontId="0" fillId="0" borderId="18" xfId="2" applyNumberFormat="1" applyFont="1" applyBorder="1"/>
    <xf numFmtId="165" fontId="0" fillId="0" borderId="17" xfId="0" applyNumberFormat="1" applyBorder="1"/>
    <xf numFmtId="165" fontId="0" fillId="0" borderId="8" xfId="0" applyNumberFormat="1" applyBorder="1"/>
    <xf numFmtId="0" fontId="0" fillId="0" borderId="9" xfId="0" applyBorder="1"/>
    <xf numFmtId="0" fontId="0" fillId="0" borderId="0" xfId="0" applyFont="1" applyBorder="1" applyAlignment="1">
      <alignment horizontal="right" indent="1"/>
    </xf>
    <xf numFmtId="0" fontId="0" fillId="0" borderId="10" xfId="0" applyBorder="1"/>
    <xf numFmtId="166" fontId="2" fillId="10" borderId="7" xfId="1" applyNumberFormat="1" applyFont="1" applyFill="1" applyBorder="1" applyProtection="1">
      <protection locked="0"/>
    </xf>
    <xf numFmtId="0" fontId="53" fillId="0" borderId="1" xfId="0" applyFont="1" applyBorder="1" applyAlignment="1">
      <alignment horizontal="center"/>
    </xf>
    <xf numFmtId="43" fontId="53" fillId="0" borderId="1" xfId="1" applyFont="1" applyBorder="1" applyAlignment="1">
      <alignment horizontal="center"/>
    </xf>
    <xf numFmtId="0" fontId="53" fillId="0" borderId="1" xfId="0" applyFont="1" applyBorder="1"/>
    <xf numFmtId="49" fontId="53" fillId="0" borderId="1" xfId="0" applyNumberFormat="1" applyFont="1" applyBorder="1" applyAlignment="1">
      <alignment horizontal="center"/>
    </xf>
    <xf numFmtId="10" fontId="53" fillId="0" borderId="1" xfId="0" applyNumberFormat="1" applyFont="1" applyBorder="1"/>
    <xf numFmtId="0" fontId="53" fillId="0" borderId="0" xfId="0" applyFont="1"/>
    <xf numFmtId="0" fontId="71" fillId="0" borderId="19" xfId="0" applyFont="1" applyBorder="1" applyAlignment="1">
      <alignment horizontal="right"/>
    </xf>
    <xf numFmtId="43" fontId="71" fillId="0" borderId="14" xfId="1" applyFont="1" applyBorder="1" applyAlignment="1">
      <alignment horizontal="center"/>
    </xf>
    <xf numFmtId="43" fontId="56" fillId="0" borderId="0" xfId="1" applyFont="1" applyAlignment="1">
      <alignment horizontal="center"/>
    </xf>
    <xf numFmtId="43" fontId="1" fillId="0" borderId="0" xfId="1" applyFont="1"/>
    <xf numFmtId="0" fontId="1" fillId="0" borderId="0" xfId="1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56" fillId="0" borderId="0" xfId="1" applyFont="1"/>
    <xf numFmtId="10" fontId="1" fillId="0" borderId="3" xfId="2" applyNumberFormat="1" applyFont="1" applyBorder="1" applyAlignment="1">
      <alignment horizontal="center"/>
    </xf>
    <xf numFmtId="43" fontId="1" fillId="0" borderId="4" xfId="1" applyFont="1" applyBorder="1"/>
    <xf numFmtId="10" fontId="1" fillId="0" borderId="3" xfId="2" applyNumberFormat="1" applyFont="1" applyBorder="1"/>
    <xf numFmtId="0" fontId="73" fillId="0" borderId="0" xfId="0" applyFont="1" applyAlignment="1">
      <alignment horizontal="left" indent="1"/>
    </xf>
    <xf numFmtId="0" fontId="74" fillId="0" borderId="17" xfId="153" applyFont="1" applyBorder="1" applyAlignment="1">
      <alignment horizontal="right"/>
    </xf>
    <xf numFmtId="0" fontId="75" fillId="0" borderId="0" xfId="153" applyFont="1" applyBorder="1"/>
    <xf numFmtId="0" fontId="76" fillId="0" borderId="17" xfId="153" applyFont="1" applyBorder="1" applyAlignment="1">
      <alignment horizontal="center"/>
    </xf>
    <xf numFmtId="0" fontId="75" fillId="0" borderId="28" xfId="153" applyFont="1" applyBorder="1"/>
    <xf numFmtId="0" fontId="75" fillId="0" borderId="29" xfId="153" applyFont="1" applyBorder="1"/>
    <xf numFmtId="9" fontId="75" fillId="0" borderId="29" xfId="153" applyNumberFormat="1" applyFont="1" applyBorder="1"/>
    <xf numFmtId="10" fontId="75" fillId="0" borderId="30" xfId="153" applyNumberFormat="1" applyFont="1" applyBorder="1"/>
    <xf numFmtId="0" fontId="75" fillId="0" borderId="17" xfId="153" applyFont="1" applyBorder="1"/>
    <xf numFmtId="0" fontId="75" fillId="0" borderId="31" xfId="153" applyFont="1" applyBorder="1"/>
    <xf numFmtId="9" fontId="75" fillId="0" borderId="0" xfId="153" applyNumberFormat="1" applyFont="1" applyBorder="1"/>
    <xf numFmtId="10" fontId="75" fillId="0" borderId="32" xfId="153" applyNumberFormat="1" applyFont="1" applyBorder="1"/>
    <xf numFmtId="0" fontId="75" fillId="0" borderId="33" xfId="153" applyFont="1" applyBorder="1"/>
    <xf numFmtId="0" fontId="75" fillId="0" borderId="34" xfId="153" applyFont="1" applyBorder="1"/>
    <xf numFmtId="9" fontId="75" fillId="0" borderId="34" xfId="153" applyNumberFormat="1" applyFont="1" applyBorder="1"/>
    <xf numFmtId="10" fontId="75" fillId="0" borderId="35" xfId="153" applyNumberFormat="1" applyFont="1" applyBorder="1"/>
    <xf numFmtId="43" fontId="1" fillId="0" borderId="28" xfId="1" applyFont="1" applyBorder="1"/>
    <xf numFmtId="43" fontId="1" fillId="0" borderId="29" xfId="1" applyFont="1" applyBorder="1"/>
    <xf numFmtId="43" fontId="1" fillId="0" borderId="30" xfId="1" applyFont="1" applyBorder="1"/>
    <xf numFmtId="0" fontId="1" fillId="0" borderId="0" xfId="0" applyFont="1" applyBorder="1" applyAlignment="1">
      <alignment horizontal="right"/>
    </xf>
    <xf numFmtId="43" fontId="1" fillId="0" borderId="31" xfId="1" applyFont="1" applyBorder="1"/>
    <xf numFmtId="43" fontId="1" fillId="0" borderId="0" xfId="1" applyFont="1" applyBorder="1"/>
    <xf numFmtId="43" fontId="1" fillId="0" borderId="32" xfId="1" applyFont="1" applyBorder="1"/>
    <xf numFmtId="43" fontId="1" fillId="0" borderId="33" xfId="1" applyFont="1" applyBorder="1"/>
    <xf numFmtId="43" fontId="1" fillId="0" borderId="34" xfId="1" applyFont="1" applyBorder="1"/>
    <xf numFmtId="43" fontId="1" fillId="0" borderId="35" xfId="1" applyFont="1" applyBorder="1"/>
    <xf numFmtId="9" fontId="1" fillId="0" borderId="0" xfId="2" applyNumberFormat="1" applyFont="1"/>
    <xf numFmtId="10" fontId="1" fillId="0" borderId="0" xfId="2" applyNumberFormat="1" applyFont="1"/>
    <xf numFmtId="0" fontId="70" fillId="0" borderId="0" xfId="0" applyFont="1" applyProtection="1">
      <protection locked="0"/>
    </xf>
    <xf numFmtId="170" fontId="49" fillId="0" borderId="0" xfId="0" applyNumberFormat="1" applyFont="1"/>
    <xf numFmtId="169" fontId="0" fillId="10" borderId="3" xfId="1" applyNumberFormat="1" applyFont="1" applyFill="1" applyBorder="1" applyAlignment="1" applyProtection="1">
      <protection locked="0"/>
    </xf>
    <xf numFmtId="176" fontId="0" fillId="10" borderId="3" xfId="0" applyNumberFormat="1" applyFont="1" applyFill="1" applyBorder="1" applyProtection="1">
      <protection locked="0"/>
    </xf>
    <xf numFmtId="165" fontId="0" fillId="0" borderId="0" xfId="1" applyNumberFormat="1" applyFont="1" applyProtection="1">
      <protection locked="0"/>
    </xf>
    <xf numFmtId="0" fontId="9" fillId="10" borderId="0" xfId="0" applyFont="1" applyFill="1" applyAlignment="1" applyProtection="1">
      <alignment horizontal="right"/>
      <protection locked="0"/>
    </xf>
    <xf numFmtId="0" fontId="9" fillId="10" borderId="18" xfId="0" applyFont="1" applyFill="1" applyBorder="1" applyAlignment="1" applyProtection="1">
      <alignment horizontal="right"/>
      <protection locked="0"/>
    </xf>
    <xf numFmtId="164" fontId="0" fillId="8" borderId="0" xfId="0" applyNumberFormat="1" applyFont="1" applyFill="1" applyAlignment="1">
      <alignment horizontal="right"/>
    </xf>
    <xf numFmtId="164" fontId="0" fillId="8" borderId="18" xfId="0" applyNumberFormat="1" applyFont="1" applyFill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9" fillId="0" borderId="18" xfId="0" applyNumberFormat="1" applyFont="1" applyBorder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50" fillId="10" borderId="3" xfId="0" applyFont="1" applyFill="1" applyBorder="1" applyAlignment="1" applyProtection="1">
      <alignment horizontal="center"/>
      <protection locked="0"/>
    </xf>
    <xf numFmtId="0" fontId="50" fillId="10" borderId="2" xfId="0" applyFont="1" applyFill="1" applyBorder="1" applyAlignment="1" applyProtection="1">
      <alignment horizontal="center"/>
      <protection locked="0"/>
    </xf>
    <xf numFmtId="0" fontId="50" fillId="10" borderId="4" xfId="0" applyFont="1" applyFill="1" applyBorder="1" applyAlignment="1" applyProtection="1">
      <alignment horizontal="center"/>
      <protection locked="0"/>
    </xf>
    <xf numFmtId="0" fontId="0" fillId="10" borderId="3" xfId="0" applyFont="1" applyFill="1" applyBorder="1" applyAlignment="1" applyProtection="1">
      <alignment horizontal="center"/>
      <protection locked="0"/>
    </xf>
    <xf numFmtId="0" fontId="0" fillId="10" borderId="2" xfId="0" applyFont="1" applyFill="1" applyBorder="1" applyAlignment="1" applyProtection="1">
      <alignment horizontal="center"/>
      <protection locked="0"/>
    </xf>
    <xf numFmtId="0" fontId="0" fillId="10" borderId="4" xfId="0" applyFont="1" applyFill="1" applyBorder="1" applyAlignment="1" applyProtection="1">
      <alignment horizontal="center"/>
      <protection locked="0"/>
    </xf>
    <xf numFmtId="0" fontId="0" fillId="10" borderId="3" xfId="0" applyFont="1" applyFill="1" applyBorder="1" applyAlignment="1" applyProtection="1">
      <alignment horizontal="left"/>
      <protection locked="0"/>
    </xf>
    <xf numFmtId="0" fontId="0" fillId="10" borderId="2" xfId="0" applyFont="1" applyFill="1" applyBorder="1" applyAlignment="1" applyProtection="1">
      <alignment horizontal="left"/>
      <protection locked="0"/>
    </xf>
    <xf numFmtId="0" fontId="0" fillId="10" borderId="4" xfId="0" applyFont="1" applyFill="1" applyBorder="1" applyAlignment="1" applyProtection="1">
      <alignment horizontal="left"/>
      <protection locked="0"/>
    </xf>
    <xf numFmtId="0" fontId="0" fillId="10" borderId="3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3" fillId="0" borderId="17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41" fillId="0" borderId="0" xfId="145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shrinkToFit="1"/>
    </xf>
    <xf numFmtId="40" fontId="0" fillId="0" borderId="17" xfId="0" applyNumberFormat="1" applyBorder="1" applyAlignment="1" applyProtection="1">
      <alignment horizontal="left" shrinkToFit="1"/>
      <protection hidden="1"/>
    </xf>
    <xf numFmtId="40" fontId="0" fillId="0" borderId="0" xfId="0" applyNumberFormat="1" applyAlignment="1" applyProtection="1">
      <alignment horizontal="left" shrinkToFit="1"/>
      <protection hidden="1"/>
    </xf>
    <xf numFmtId="0" fontId="0" fillId="10" borderId="0" xfId="0" applyFill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4" fillId="0" borderId="0" xfId="0" applyFont="1" applyAlignment="1">
      <alignment horizontal="center"/>
    </xf>
    <xf numFmtId="166" fontId="0" fillId="0" borderId="15" xfId="0" applyNumberFormat="1" applyFill="1" applyBorder="1" applyAlignment="1" applyProtection="1">
      <alignment horizontal="center" vertical="center"/>
      <protection hidden="1"/>
    </xf>
    <xf numFmtId="166" fontId="0" fillId="0" borderId="16" xfId="0" applyNumberForma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>
      <alignment horizontal="right" vertical="center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165" fontId="22" fillId="0" borderId="0" xfId="1" applyNumberFormat="1" applyFont="1" applyAlignment="1">
      <alignment horizontal="center" wrapText="1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6" fillId="0" borderId="0" xfId="1450" applyAlignment="1">
      <alignment horizontal="center"/>
    </xf>
    <xf numFmtId="0" fontId="44" fillId="0" borderId="0" xfId="1450" applyFont="1" applyAlignment="1">
      <alignment horizontal="center"/>
    </xf>
    <xf numFmtId="0" fontId="28" fillId="0" borderId="10" xfId="0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40" fontId="28" fillId="0" borderId="0" xfId="0" applyNumberFormat="1" applyFont="1" applyBorder="1" applyAlignment="1" applyProtection="1">
      <alignment horizontal="center"/>
      <protection hidden="1"/>
    </xf>
    <xf numFmtId="40" fontId="28" fillId="0" borderId="19" xfId="0" applyNumberFormat="1" applyFont="1" applyBorder="1" applyAlignment="1" applyProtection="1">
      <alignment horizontal="center"/>
      <protection hidden="1"/>
    </xf>
    <xf numFmtId="40" fontId="28" fillId="0" borderId="20" xfId="0" applyNumberFormat="1" applyFont="1" applyBorder="1" applyAlignment="1" applyProtection="1">
      <alignment horizontal="center"/>
      <protection hidden="1"/>
    </xf>
    <xf numFmtId="40" fontId="28" fillId="0" borderId="21" xfId="0" applyNumberFormat="1" applyFont="1" applyBorder="1" applyAlignment="1" applyProtection="1">
      <alignment horizontal="center"/>
      <protection hidden="1"/>
    </xf>
    <xf numFmtId="38" fontId="0" fillId="0" borderId="45" xfId="0" applyNumberFormat="1" applyBorder="1" applyAlignment="1" applyProtection="1">
      <alignment horizontal="center"/>
      <protection hidden="1"/>
    </xf>
    <xf numFmtId="38" fontId="0" fillId="0" borderId="46" xfId="0" applyNumberFormat="1" applyBorder="1" applyAlignment="1" applyProtection="1">
      <alignment horizontal="center"/>
      <protection hidden="1"/>
    </xf>
    <xf numFmtId="38" fontId="0" fillId="0" borderId="47" xfId="0" applyNumberFormat="1" applyBorder="1" applyAlignment="1" applyProtection="1">
      <alignment horizontal="center"/>
      <protection hidden="1"/>
    </xf>
    <xf numFmtId="0" fontId="28" fillId="0" borderId="19" xfId="0" applyFont="1" applyBorder="1" applyAlignment="1" applyProtection="1">
      <alignment horizontal="right"/>
      <protection hidden="1"/>
    </xf>
    <xf numFmtId="0" fontId="28" fillId="0" borderId="20" xfId="0" applyFont="1" applyBorder="1" applyAlignment="1" applyProtection="1">
      <alignment horizontal="right"/>
      <protection hidden="1"/>
    </xf>
    <xf numFmtId="0" fontId="28" fillId="0" borderId="21" xfId="0" applyFont="1" applyBorder="1" applyAlignment="1" applyProtection="1">
      <alignment horizontal="right"/>
      <protection hidden="1"/>
    </xf>
    <xf numFmtId="40" fontId="0" fillId="2" borderId="8" xfId="0" applyNumberFormat="1" applyFill="1" applyBorder="1" applyAlignment="1" applyProtection="1">
      <alignment horizontal="center"/>
      <protection hidden="1"/>
    </xf>
    <xf numFmtId="40" fontId="0" fillId="2" borderId="9" xfId="0" applyNumberFormat="1" applyFill="1" applyBorder="1" applyAlignment="1" applyProtection="1">
      <alignment horizontal="center"/>
      <protection hidden="1"/>
    </xf>
    <xf numFmtId="40" fontId="0" fillId="2" borderId="10" xfId="0" applyNumberFormat="1" applyFill="1" applyBorder="1" applyAlignment="1" applyProtection="1">
      <alignment horizontal="center"/>
      <protection hidden="1"/>
    </xf>
    <xf numFmtId="40" fontId="0" fillId="2" borderId="12" xfId="0" applyNumberFormat="1" applyFill="1" applyBorder="1" applyAlignment="1" applyProtection="1">
      <alignment horizontal="center"/>
      <protection hidden="1"/>
    </xf>
    <xf numFmtId="40" fontId="0" fillId="2" borderId="11" xfId="0" applyNumberFormat="1" applyFill="1" applyBorder="1" applyAlignment="1" applyProtection="1">
      <alignment horizontal="center"/>
      <protection hidden="1"/>
    </xf>
    <xf numFmtId="40" fontId="0" fillId="2" borderId="17" xfId="0" applyNumberFormat="1" applyFill="1" applyBorder="1" applyAlignment="1" applyProtection="1">
      <alignment horizontal="center"/>
      <protection hidden="1"/>
    </xf>
    <xf numFmtId="40" fontId="0" fillId="2" borderId="18" xfId="0" applyNumberFormat="1" applyFill="1" applyBorder="1" applyAlignment="1" applyProtection="1">
      <alignment horizontal="center"/>
      <protection hidden="1"/>
    </xf>
    <xf numFmtId="0" fontId="59" fillId="0" borderId="0" xfId="0" applyFont="1" applyAlignment="1">
      <alignment horizontal="center"/>
    </xf>
    <xf numFmtId="0" fontId="60" fillId="13" borderId="0" xfId="1450" applyFont="1" applyFill="1" applyAlignment="1">
      <alignment horizontal="center" vertical="top"/>
    </xf>
    <xf numFmtId="38" fontId="28" fillId="0" borderId="20" xfId="0" applyNumberFormat="1" applyFont="1" applyBorder="1" applyAlignment="1" applyProtection="1">
      <alignment horizontal="center"/>
      <protection hidden="1"/>
    </xf>
    <xf numFmtId="38" fontId="28" fillId="0" borderId="19" xfId="0" applyNumberFormat="1" applyFont="1" applyBorder="1" applyAlignment="1" applyProtection="1">
      <alignment horizontal="center"/>
      <protection hidden="1"/>
    </xf>
    <xf numFmtId="38" fontId="28" fillId="0" borderId="21" xfId="0" applyNumberFormat="1" applyFont="1" applyBorder="1" applyAlignment="1" applyProtection="1">
      <alignment horizontal="center"/>
      <protection hidden="1"/>
    </xf>
    <xf numFmtId="0" fontId="71" fillId="0" borderId="20" xfId="0" applyFont="1" applyBorder="1" applyAlignment="1">
      <alignment horizontal="left"/>
    </xf>
    <xf numFmtId="43" fontId="24" fillId="0" borderId="0" xfId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</cellXfs>
  <cellStyles count="155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/>
    <cellStyle name="Normal" xfId="0" builtinId="0"/>
    <cellStyle name="Normal_Plan1" xfId="153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hamiltonleite.com.br" TargetMode="External"/><Relationship Id="rId20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10" Type="http://schemas.openxmlformats.org/officeDocument/2006/relationships/hyperlink" Target="http://www.hamiltonleite.com.br" TargetMode="External"/><Relationship Id="rId11" Type="http://schemas.openxmlformats.org/officeDocument/2006/relationships/hyperlink" Target="http://www.hamiltonleite.com.br" TargetMode="External"/><Relationship Id="rId12" Type="http://schemas.openxmlformats.org/officeDocument/2006/relationships/hyperlink" Target="http://www.hamiltonleite.com.br" TargetMode="External"/><Relationship Id="rId13" Type="http://schemas.openxmlformats.org/officeDocument/2006/relationships/hyperlink" Target="http://www.hamiltonleite.com.br" TargetMode="External"/><Relationship Id="rId14" Type="http://schemas.openxmlformats.org/officeDocument/2006/relationships/hyperlink" Target="http://www.hamiltonleite.com.br" TargetMode="External"/><Relationship Id="rId15" Type="http://schemas.openxmlformats.org/officeDocument/2006/relationships/hyperlink" Target="http://www.hamiltonleite.com.br" TargetMode="External"/><Relationship Id="rId16" Type="http://schemas.openxmlformats.org/officeDocument/2006/relationships/hyperlink" Target="http://www.hamiltonleite.com.br" TargetMode="External"/><Relationship Id="rId17" Type="http://schemas.openxmlformats.org/officeDocument/2006/relationships/hyperlink" Target="http://www.hamiltonleite.com.br" TargetMode="External"/><Relationship Id="rId18" Type="http://schemas.openxmlformats.org/officeDocument/2006/relationships/hyperlink" Target="http://www.hamiltonleite.com.br" TargetMode="External"/><Relationship Id="rId19" Type="http://schemas.openxmlformats.org/officeDocument/2006/relationships/hyperlink" Target="http://www.hamiltonleite.com.br" TargetMode="External"/><Relationship Id="rId1" Type="http://schemas.openxmlformats.org/officeDocument/2006/relationships/hyperlink" Target="http://www.hamiltonleite.com.br" TargetMode="External"/><Relationship Id="rId2" Type="http://schemas.openxmlformats.org/officeDocument/2006/relationships/hyperlink" Target="http://www.hamiltonleite.com.br" TargetMode="External"/><Relationship Id="rId3" Type="http://schemas.openxmlformats.org/officeDocument/2006/relationships/hyperlink" Target="http://www.hamiltonleite.com.br" TargetMode="External"/><Relationship Id="rId4" Type="http://schemas.openxmlformats.org/officeDocument/2006/relationships/hyperlink" Target="http://www.hamiltonleite.com.br" TargetMode="External"/><Relationship Id="rId5" Type="http://schemas.openxmlformats.org/officeDocument/2006/relationships/hyperlink" Target="http://www.hamiltonleite.com.br" TargetMode="External"/><Relationship Id="rId6" Type="http://schemas.openxmlformats.org/officeDocument/2006/relationships/hyperlink" Target="http://www.hamiltonleite.com.br" TargetMode="External"/><Relationship Id="rId7" Type="http://schemas.openxmlformats.org/officeDocument/2006/relationships/hyperlink" Target="http://www.hamiltonleite.com.br" TargetMode="External"/><Relationship Id="rId8" Type="http://schemas.openxmlformats.org/officeDocument/2006/relationships/hyperlink" Target="http://www.hamiltonleite.com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miltonleite.com.br" TargetMode="External"/><Relationship Id="rId4" Type="http://schemas.openxmlformats.org/officeDocument/2006/relationships/hyperlink" Target="http://www.hamiltonleite.com.br" TargetMode="External"/><Relationship Id="rId5" Type="http://schemas.openxmlformats.org/officeDocument/2006/relationships/hyperlink" Target="http://www.hamiltonleite.com.br" TargetMode="External"/><Relationship Id="rId6" Type="http://schemas.openxmlformats.org/officeDocument/2006/relationships/hyperlink" Target="http://www.hamiltonleite.com.br" TargetMode="External"/><Relationship Id="rId1" Type="http://schemas.openxmlformats.org/officeDocument/2006/relationships/hyperlink" Target="http://www.hamiltonleite.com.br" TargetMode="External"/><Relationship Id="rId2" Type="http://schemas.openxmlformats.org/officeDocument/2006/relationships/hyperlink" Target="http://www.hamiltonleite.com.b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miltonleite.com.br" TargetMode="External"/><Relationship Id="rId2" Type="http://schemas.openxmlformats.org/officeDocument/2006/relationships/hyperlink" Target="http://www.hamiltonleite.com.br" TargetMode="External"/><Relationship Id="rId3" Type="http://schemas.openxmlformats.org/officeDocument/2006/relationships/hyperlink" Target="http://www.hamiltonleite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71"/>
  <sheetViews>
    <sheetView showGridLines="0" tabSelected="1" zoomScale="160" zoomScaleNormal="160" zoomScalePageLayoutView="1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2" sqref="I2"/>
    </sheetView>
  </sheetViews>
  <sheetFormatPr baseColWidth="10" defaultRowHeight="15" x14ac:dyDescent="0"/>
  <cols>
    <col min="1" max="1" width="1.33203125" customWidth="1"/>
    <col min="2" max="2" width="5.83203125" customWidth="1"/>
    <col min="3" max="3" width="17.5" customWidth="1"/>
    <col min="4" max="4" width="15.33203125" style="10" customWidth="1"/>
    <col min="5" max="5" width="18.33203125" customWidth="1"/>
    <col min="6" max="6" width="12" style="8" customWidth="1"/>
    <col min="7" max="7" width="16.83203125" customWidth="1"/>
    <col min="8" max="8" width="16.6640625" customWidth="1"/>
    <col min="9" max="9" width="15" bestFit="1" customWidth="1"/>
    <col min="10" max="10" width="7.1640625" customWidth="1"/>
    <col min="11" max="11" width="13.5" style="31" hidden="1" customWidth="1"/>
    <col min="12" max="12" width="15" hidden="1" customWidth="1"/>
    <col min="13" max="13" width="13.5" hidden="1" customWidth="1"/>
    <col min="14" max="14" width="18.5" hidden="1" customWidth="1"/>
    <col min="15" max="15" width="16.5" hidden="1" customWidth="1"/>
    <col min="16" max="16" width="0" hidden="1" customWidth="1"/>
  </cols>
  <sheetData>
    <row r="1" spans="1:17" ht="18" customHeight="1">
      <c r="B1" s="535" t="s">
        <v>375</v>
      </c>
      <c r="C1" s="350" t="s">
        <v>366</v>
      </c>
      <c r="D1" s="351" t="e">
        <f>E157</f>
        <v>#VALUE!</v>
      </c>
      <c r="E1" s="349"/>
      <c r="G1" s="338" t="s">
        <v>432</v>
      </c>
      <c r="I1" s="429" t="s">
        <v>553</v>
      </c>
      <c r="J1" s="341"/>
      <c r="P1" s="456" t="s">
        <v>491</v>
      </c>
      <c r="Q1" s="524" t="s">
        <v>538</v>
      </c>
    </row>
    <row r="2" spans="1:17" ht="18" customHeight="1">
      <c r="B2" s="535"/>
      <c r="C2" s="352" t="s">
        <v>367</v>
      </c>
      <c r="D2" s="353" t="e">
        <f>F151</f>
        <v>#DIV/0!</v>
      </c>
      <c r="E2" s="349"/>
      <c r="G2" s="338" t="s">
        <v>369</v>
      </c>
      <c r="I2" s="421" t="s">
        <v>445</v>
      </c>
      <c r="J2" s="341"/>
      <c r="Q2" s="456"/>
    </row>
    <row r="3" spans="1:17" ht="18">
      <c r="B3" s="535"/>
      <c r="C3" s="352" t="s">
        <v>368</v>
      </c>
      <c r="D3" s="354" t="e">
        <f>G165</f>
        <v>#DIV/0!</v>
      </c>
      <c r="E3" s="525"/>
      <c r="I3" s="420" t="s">
        <v>357</v>
      </c>
      <c r="J3" s="341"/>
    </row>
    <row r="4" spans="1:17" ht="18">
      <c r="B4" s="535"/>
      <c r="C4" s="355" t="s">
        <v>370</v>
      </c>
      <c r="D4" s="354" t="e">
        <f>E161</f>
        <v>#DIV/0!</v>
      </c>
      <c r="E4" s="536"/>
      <c r="F4" s="537"/>
      <c r="G4" s="537"/>
      <c r="H4" s="537"/>
      <c r="I4" s="538"/>
      <c r="J4" s="348"/>
    </row>
    <row r="5" spans="1:17">
      <c r="B5" s="535"/>
      <c r="C5" s="352" t="s">
        <v>422</v>
      </c>
      <c r="D5" s="356" t="e">
        <f>E163</f>
        <v>#DIV/0!</v>
      </c>
      <c r="E5" s="539"/>
      <c r="F5" s="540"/>
      <c r="G5" s="540"/>
      <c r="H5" s="540"/>
      <c r="I5" s="541"/>
      <c r="J5" s="348"/>
    </row>
    <row r="6" spans="1:17" ht="6" customHeight="1">
      <c r="A6" s="342"/>
      <c r="B6" s="342"/>
      <c r="C6" s="343"/>
      <c r="D6" s="344"/>
      <c r="E6" s="342"/>
      <c r="F6" s="345"/>
      <c r="G6" s="346"/>
      <c r="H6" s="342"/>
      <c r="I6" s="342"/>
      <c r="J6" s="347"/>
    </row>
    <row r="7" spans="1:17">
      <c r="C7" s="533" t="s">
        <v>23</v>
      </c>
      <c r="D7" s="534"/>
      <c r="E7" s="542"/>
      <c r="F7" s="543"/>
      <c r="G7" s="543"/>
      <c r="H7" s="543"/>
      <c r="I7" s="544"/>
      <c r="J7" s="23"/>
    </row>
    <row r="8" spans="1:17">
      <c r="C8" s="531" t="s">
        <v>433</v>
      </c>
      <c r="D8" s="532"/>
      <c r="E8" s="357">
        <v>42679</v>
      </c>
    </row>
    <row r="9" spans="1:17" ht="15" customHeight="1">
      <c r="C9" s="533" t="s">
        <v>373</v>
      </c>
      <c r="D9" s="534"/>
      <c r="E9" s="358">
        <f>E8</f>
        <v>42679</v>
      </c>
      <c r="F9" s="63"/>
      <c r="G9" s="545" t="s">
        <v>374</v>
      </c>
      <c r="H9" s="546"/>
      <c r="K9" s="31" t="s">
        <v>99</v>
      </c>
    </row>
    <row r="10" spans="1:17" ht="15" customHeight="1">
      <c r="G10" s="559" t="s">
        <v>372</v>
      </c>
      <c r="H10" s="559"/>
    </row>
    <row r="11" spans="1:17" ht="18">
      <c r="D11" s="3" t="s">
        <v>10</v>
      </c>
      <c r="E11" s="448" t="s">
        <v>357</v>
      </c>
      <c r="G11" s="332"/>
    </row>
    <row r="12" spans="1:17">
      <c r="D12" s="4" t="s">
        <v>448</v>
      </c>
      <c r="E12" s="96">
        <f>(G12+1)^(1/12)-1</f>
        <v>4.0741237836483535E-3</v>
      </c>
      <c r="F12" s="19" t="s">
        <v>105</v>
      </c>
      <c r="G12" s="359">
        <v>0.05</v>
      </c>
      <c r="H12" s="68" t="s">
        <v>7</v>
      </c>
      <c r="K12" s="31" t="s">
        <v>61</v>
      </c>
    </row>
    <row r="13" spans="1:17">
      <c r="D13" s="4" t="s">
        <v>449</v>
      </c>
      <c r="E13" s="96">
        <f>(G13+1)^(1/12)-1</f>
        <v>4.0741237836483535E-3</v>
      </c>
      <c r="F13" s="68" t="s">
        <v>105</v>
      </c>
      <c r="G13" s="359">
        <v>0.05</v>
      </c>
      <c r="H13" s="68" t="s">
        <v>7</v>
      </c>
      <c r="K13" s="31" t="s">
        <v>62</v>
      </c>
    </row>
    <row r="14" spans="1:17">
      <c r="D14" s="10" t="s">
        <v>330</v>
      </c>
      <c r="E14" s="97">
        <f>(G14+1)^(1/12)-1</f>
        <v>8.295381143461622E-4</v>
      </c>
      <c r="F14" s="89" t="s">
        <v>105</v>
      </c>
      <c r="G14" s="359">
        <v>0.01</v>
      </c>
      <c r="H14" s="89" t="s">
        <v>7</v>
      </c>
    </row>
    <row r="15" spans="1:17">
      <c r="D15" s="4" t="s">
        <v>493</v>
      </c>
      <c r="E15" s="96">
        <f>(G15+1)^(1/12)-1</f>
        <v>8.7345938235519061E-3</v>
      </c>
      <c r="F15" s="68" t="s">
        <v>105</v>
      </c>
      <c r="G15" s="359">
        <v>0.11</v>
      </c>
      <c r="H15" s="68" t="s">
        <v>7</v>
      </c>
      <c r="K15" s="31" t="s">
        <v>63</v>
      </c>
    </row>
    <row r="16" spans="1:17">
      <c r="D16" s="412" t="s">
        <v>447</v>
      </c>
      <c r="E16" s="96">
        <f>(G16+1)^(1/12)-1</f>
        <v>1.3888430348409919E-2</v>
      </c>
      <c r="F16" s="68" t="s">
        <v>105</v>
      </c>
      <c r="G16" s="359">
        <v>0.18</v>
      </c>
      <c r="H16" s="68" t="s">
        <v>7</v>
      </c>
      <c r="K16" s="31" t="s">
        <v>64</v>
      </c>
    </row>
    <row r="18" spans="2:11">
      <c r="D18" s="340" t="s">
        <v>9</v>
      </c>
      <c r="E18" s="448" t="s">
        <v>357</v>
      </c>
    </row>
    <row r="19" spans="2:11">
      <c r="B19" s="529" t="s">
        <v>552</v>
      </c>
      <c r="C19" s="529"/>
      <c r="D19" s="530"/>
      <c r="E19" s="526">
        <v>0</v>
      </c>
      <c r="F19" s="19" t="s">
        <v>36</v>
      </c>
    </row>
    <row r="20" spans="2:11" ht="16">
      <c r="B20" s="529" t="s">
        <v>551</v>
      </c>
      <c r="C20" s="529"/>
      <c r="D20" s="530"/>
      <c r="E20" s="360">
        <v>0</v>
      </c>
      <c r="F20" s="22" t="s">
        <v>24</v>
      </c>
    </row>
    <row r="21" spans="2:11">
      <c r="B21" s="529" t="s">
        <v>541</v>
      </c>
      <c r="C21" s="529"/>
      <c r="D21" s="530"/>
      <c r="E21" s="527"/>
      <c r="F21" s="19" t="s">
        <v>36</v>
      </c>
    </row>
    <row r="22" spans="2:11" ht="16">
      <c r="B22" s="529" t="s">
        <v>25</v>
      </c>
      <c r="C22" s="529"/>
      <c r="D22" s="530"/>
      <c r="E22" s="360"/>
      <c r="F22" s="22" t="s">
        <v>24</v>
      </c>
    </row>
    <row r="23" spans="2:11">
      <c r="B23" s="529" t="s">
        <v>15</v>
      </c>
      <c r="C23" s="529"/>
      <c r="D23" s="530"/>
      <c r="E23" s="527"/>
      <c r="F23" s="19" t="s">
        <v>36</v>
      </c>
    </row>
    <row r="24" spans="2:11" ht="16">
      <c r="B24" s="529" t="s">
        <v>26</v>
      </c>
      <c r="C24" s="529"/>
      <c r="D24" s="530"/>
      <c r="E24" s="360"/>
      <c r="F24" s="22" t="s">
        <v>24</v>
      </c>
    </row>
    <row r="25" spans="2:11">
      <c r="D25" s="4" t="s">
        <v>12</v>
      </c>
      <c r="E25" s="411">
        <f>E23+E21+E19</f>
        <v>0</v>
      </c>
      <c r="F25" s="19" t="s">
        <v>34</v>
      </c>
      <c r="K25" s="31" t="s">
        <v>35</v>
      </c>
    </row>
    <row r="26" spans="2:11" ht="16">
      <c r="D26" s="4" t="s">
        <v>228</v>
      </c>
      <c r="E26" s="98">
        <f>E20*E19+E21*E22+E23*E24</f>
        <v>0</v>
      </c>
      <c r="F26" s="22" t="s">
        <v>24</v>
      </c>
      <c r="K26" s="31" t="s">
        <v>198</v>
      </c>
    </row>
    <row r="27" spans="2:11" ht="16">
      <c r="D27" s="4" t="s">
        <v>28</v>
      </c>
      <c r="E27" s="99" t="e">
        <f>E26/E25</f>
        <v>#DIV/0!</v>
      </c>
      <c r="F27" s="22" t="s">
        <v>24</v>
      </c>
      <c r="K27" s="31" t="s">
        <v>199</v>
      </c>
    </row>
    <row r="28" spans="2:11" ht="16">
      <c r="D28" s="10" t="s">
        <v>434</v>
      </c>
      <c r="E28" s="362" t="e">
        <f>'Cálculo de Áreas'!F42</f>
        <v>#DIV/0!</v>
      </c>
      <c r="F28" s="22" t="s">
        <v>24</v>
      </c>
      <c r="K28" s="31" t="s">
        <v>193</v>
      </c>
    </row>
    <row r="30" spans="2:11" ht="18">
      <c r="D30" s="6" t="s">
        <v>11</v>
      </c>
      <c r="E30" s="448" t="s">
        <v>357</v>
      </c>
    </row>
    <row r="31" spans="2:11" ht="16">
      <c r="D31" s="10" t="s">
        <v>475</v>
      </c>
      <c r="E31" s="363">
        <f>A_Terr</f>
        <v>1000</v>
      </c>
      <c r="G31" s="34" t="s">
        <v>230</v>
      </c>
      <c r="H31" s="17" t="s">
        <v>231</v>
      </c>
      <c r="I31" s="17" t="s">
        <v>221</v>
      </c>
      <c r="J31" s="17" t="s">
        <v>226</v>
      </c>
    </row>
    <row r="32" spans="2:11" ht="16">
      <c r="D32" s="10" t="s">
        <v>224</v>
      </c>
      <c r="E32" s="93">
        <f>vtt/E31</f>
        <v>0</v>
      </c>
      <c r="G32" s="49" t="s">
        <v>229</v>
      </c>
      <c r="H32" s="18" t="s">
        <v>223</v>
      </c>
      <c r="I32" s="18" t="s">
        <v>222</v>
      </c>
      <c r="J32" s="18" t="s">
        <v>227</v>
      </c>
    </row>
    <row r="33" spans="4:12">
      <c r="D33" s="10" t="s">
        <v>16</v>
      </c>
      <c r="E33" s="361">
        <v>0</v>
      </c>
      <c r="F33" s="41" t="s">
        <v>36</v>
      </c>
      <c r="G33" s="100">
        <f>H33*E49</f>
        <v>0</v>
      </c>
      <c r="H33" s="101">
        <f>E33*E20</f>
        <v>0</v>
      </c>
      <c r="I33" s="102" t="e">
        <f>G33/vtt</f>
        <v>#DIV/0!</v>
      </c>
      <c r="J33" s="103" t="e">
        <f>H33/atp</f>
        <v>#DIV/0!</v>
      </c>
    </row>
    <row r="34" spans="4:12">
      <c r="D34" s="10" t="s">
        <v>17</v>
      </c>
      <c r="E34" s="361">
        <v>0</v>
      </c>
      <c r="F34" s="41" t="s">
        <v>36</v>
      </c>
      <c r="G34" s="100">
        <f>H34*E51</f>
        <v>0</v>
      </c>
      <c r="H34" s="101">
        <f>E34*E22</f>
        <v>0</v>
      </c>
      <c r="I34" s="102" t="e">
        <f>G34/vtt</f>
        <v>#DIV/0!</v>
      </c>
      <c r="J34" s="103" t="e">
        <f>H34/atp</f>
        <v>#DIV/0!</v>
      </c>
    </row>
    <row r="35" spans="4:12">
      <c r="D35" s="10" t="s">
        <v>18</v>
      </c>
      <c r="E35" s="361">
        <v>0</v>
      </c>
      <c r="F35" s="41" t="s">
        <v>36</v>
      </c>
      <c r="G35" s="100">
        <f>H35*E53</f>
        <v>0</v>
      </c>
      <c r="H35" s="101">
        <f>E35*E24</f>
        <v>0</v>
      </c>
      <c r="I35" s="102" t="e">
        <f>G35/vtt</f>
        <v>#DIV/0!</v>
      </c>
      <c r="J35" s="103" t="e">
        <f>H35/atp</f>
        <v>#DIV/0!</v>
      </c>
    </row>
    <row r="36" spans="4:12">
      <c r="D36" s="10" t="s">
        <v>220</v>
      </c>
      <c r="E36" s="94">
        <f>SUM(E33:E35)</f>
        <v>0</v>
      </c>
      <c r="F36" s="41" t="s">
        <v>36</v>
      </c>
      <c r="G36" s="100" t="e">
        <f>SUM(G33:I35)</f>
        <v>#DIV/0!</v>
      </c>
      <c r="H36" s="104">
        <f>SUM(H33:H35)</f>
        <v>0</v>
      </c>
      <c r="I36" s="102" t="e">
        <f>G36/vtt</f>
        <v>#DIV/0!</v>
      </c>
      <c r="J36" s="103" t="e">
        <f>H36/atp</f>
        <v>#DIV/0!</v>
      </c>
      <c r="K36" s="31" t="s">
        <v>206</v>
      </c>
      <c r="L36" s="69" t="s">
        <v>198</v>
      </c>
    </row>
    <row r="37" spans="4:12">
      <c r="D37" s="10" t="s">
        <v>32</v>
      </c>
      <c r="E37" s="364">
        <v>0</v>
      </c>
      <c r="G37" s="424" t="s">
        <v>357</v>
      </c>
      <c r="K37" s="31" t="s">
        <v>81</v>
      </c>
    </row>
    <row r="38" spans="4:12">
      <c r="D38" s="10" t="s">
        <v>13</v>
      </c>
      <c r="E38" s="361">
        <v>-2</v>
      </c>
      <c r="F38" s="25" t="s">
        <v>225</v>
      </c>
      <c r="G38" s="20"/>
      <c r="H38" s="105">
        <f>DATE(YEAR(H60),MONTH(H60)+E38,DAY(H60))</f>
        <v>42799</v>
      </c>
      <c r="I38" s="109" t="s">
        <v>150</v>
      </c>
      <c r="J38" s="106">
        <f>mlan+E38</f>
        <v>4</v>
      </c>
      <c r="K38" s="31" t="s">
        <v>82</v>
      </c>
    </row>
    <row r="39" spans="4:12">
      <c r="D39" s="10" t="s">
        <v>321</v>
      </c>
      <c r="E39" s="364">
        <v>0</v>
      </c>
      <c r="F39" s="329" t="str">
        <f>IF(E40=0, "&lt;  ^   Inserir valor em dinheiro e/ou unidades permutadas"," ")</f>
        <v>&lt;  ^   Inserir valor em dinheiro e/ou unidades permutadas</v>
      </c>
      <c r="K39" s="31" t="s">
        <v>83</v>
      </c>
    </row>
    <row r="40" spans="4:12">
      <c r="D40" s="10" t="s">
        <v>37</v>
      </c>
      <c r="E40" s="107">
        <f>E39+E35*E54+E34*E52+E33*E50</f>
        <v>0</v>
      </c>
      <c r="F40" s="39" t="s">
        <v>53</v>
      </c>
      <c r="G40" s="37"/>
      <c r="K40" s="31" t="s">
        <v>80</v>
      </c>
    </row>
    <row r="41" spans="4:12">
      <c r="D41" s="10" t="s">
        <v>14</v>
      </c>
      <c r="E41" s="108">
        <f>F41*E40</f>
        <v>0</v>
      </c>
      <c r="F41" s="359">
        <v>0.04</v>
      </c>
      <c r="G41" s="27" t="s">
        <v>158</v>
      </c>
      <c r="H41" s="70"/>
      <c r="K41" s="31" t="s">
        <v>194</v>
      </c>
    </row>
    <row r="42" spans="4:12">
      <c r="D42" s="10" t="s">
        <v>249</v>
      </c>
      <c r="E42" s="361">
        <v>1</v>
      </c>
      <c r="F42" s="95" t="s">
        <v>248</v>
      </c>
      <c r="G42" s="20"/>
      <c r="H42" s="105">
        <f>DATE(YEAR(H46),MONTH(H46)+E42,DAY(H46))</f>
        <v>42740</v>
      </c>
      <c r="I42" s="109" t="s">
        <v>150</v>
      </c>
      <c r="J42" s="106">
        <f>mpt+E42</f>
        <v>2</v>
      </c>
      <c r="K42" s="31" t="s">
        <v>250</v>
      </c>
    </row>
    <row r="43" spans="4:12">
      <c r="D43" s="12" t="s">
        <v>0</v>
      </c>
      <c r="E43" s="424" t="s">
        <v>357</v>
      </c>
    </row>
    <row r="44" spans="4:12">
      <c r="D44" s="10" t="s">
        <v>435</v>
      </c>
      <c r="E44" s="112">
        <f>vtd*G44</f>
        <v>0</v>
      </c>
      <c r="F44" s="47" t="s">
        <v>244</v>
      </c>
      <c r="G44" s="365">
        <v>0</v>
      </c>
      <c r="H44" s="67" t="s">
        <v>243</v>
      </c>
      <c r="I44" s="67"/>
      <c r="J44" s="37"/>
      <c r="K44" s="31" t="s">
        <v>246</v>
      </c>
    </row>
    <row r="45" spans="4:12">
      <c r="D45" s="10" t="s">
        <v>245</v>
      </c>
      <c r="E45" s="366">
        <v>0</v>
      </c>
      <c r="F45" s="550" t="s">
        <v>238</v>
      </c>
      <c r="G45" s="551"/>
      <c r="H45" s="551"/>
      <c r="I45" s="551"/>
      <c r="J45" s="371" t="s">
        <v>235</v>
      </c>
      <c r="K45" s="31" t="s">
        <v>85</v>
      </c>
      <c r="L45" s="31" t="s">
        <v>239</v>
      </c>
    </row>
    <row r="46" spans="4:12">
      <c r="D46" s="10" t="s">
        <v>242</v>
      </c>
      <c r="E46" s="361">
        <v>1</v>
      </c>
      <c r="F46" s="38" t="s">
        <v>101</v>
      </c>
      <c r="G46" s="20"/>
      <c r="H46" s="111">
        <f>DATE(YEAR(E9),MONTH(E9)+E46,DAY(E9))</f>
        <v>42709</v>
      </c>
      <c r="I46" s="40" t="s">
        <v>150</v>
      </c>
      <c r="J46" s="110">
        <f>E46</f>
        <v>1</v>
      </c>
      <c r="K46" s="31" t="s">
        <v>84</v>
      </c>
    </row>
    <row r="48" spans="4:12">
      <c r="D48" s="7" t="s">
        <v>446</v>
      </c>
      <c r="E48" s="448" t="s">
        <v>357</v>
      </c>
    </row>
    <row r="49" spans="4:12" ht="16">
      <c r="D49" s="10" t="s">
        <v>54</v>
      </c>
      <c r="E49" s="367">
        <v>0</v>
      </c>
      <c r="F49" s="21" t="s">
        <v>178</v>
      </c>
      <c r="G49" s="16"/>
    </row>
    <row r="50" spans="4:12">
      <c r="D50" s="10" t="s">
        <v>21</v>
      </c>
      <c r="E50" s="113">
        <f>E49*E20</f>
        <v>0</v>
      </c>
      <c r="F50" s="23"/>
      <c r="G50" s="424" t="s">
        <v>357</v>
      </c>
    </row>
    <row r="51" spans="4:12" ht="16">
      <c r="D51" s="10" t="s">
        <v>29</v>
      </c>
      <c r="E51" s="367">
        <v>0</v>
      </c>
      <c r="F51" s="26" t="s">
        <v>178</v>
      </c>
      <c r="G51" s="16"/>
    </row>
    <row r="52" spans="4:12">
      <c r="D52" s="10" t="s">
        <v>20</v>
      </c>
      <c r="E52" s="113">
        <f>E51*E22</f>
        <v>0</v>
      </c>
      <c r="F52" s="23"/>
      <c r="G52" s="334"/>
    </row>
    <row r="53" spans="4:12" ht="16">
      <c r="D53" s="10" t="s">
        <v>30</v>
      </c>
      <c r="E53" s="367">
        <v>0</v>
      </c>
      <c r="F53" s="26" t="s">
        <v>178</v>
      </c>
      <c r="G53" s="16"/>
      <c r="H53" s="78"/>
    </row>
    <row r="54" spans="4:12">
      <c r="D54" s="10" t="s">
        <v>19</v>
      </c>
      <c r="E54" s="113">
        <f>E24*E53</f>
        <v>0</v>
      </c>
      <c r="F54" s="23"/>
      <c r="G54" s="334"/>
      <c r="H54" s="77"/>
    </row>
    <row r="55" spans="4:12">
      <c r="D55" s="5" t="s">
        <v>102</v>
      </c>
      <c r="E55" s="114">
        <f>E54*(E23-E35)+E52*(E21-E34)+E50*(E19-E33)</f>
        <v>0</v>
      </c>
      <c r="F55" s="72" t="s">
        <v>275</v>
      </c>
      <c r="G55" s="20"/>
      <c r="H55" s="20"/>
      <c r="I55" s="20"/>
      <c r="J55" s="16"/>
      <c r="K55" s="31" t="s">
        <v>40</v>
      </c>
    </row>
    <row r="56" spans="4:12">
      <c r="D56" s="75" t="s">
        <v>96</v>
      </c>
      <c r="E56" s="115" t="e">
        <f>E55/(E25-E33-E34-E35)</f>
        <v>#DIV/0!</v>
      </c>
      <c r="F56" s="334"/>
      <c r="G56" s="334"/>
      <c r="K56" s="31" t="s">
        <v>97</v>
      </c>
    </row>
    <row r="57" spans="4:12">
      <c r="D57" s="10" t="s">
        <v>31</v>
      </c>
      <c r="E57" s="116">
        <f>F57*E55</f>
        <v>0</v>
      </c>
      <c r="F57" s="359">
        <v>4.4999999999999998E-2</v>
      </c>
      <c r="G57" s="73" t="s">
        <v>273</v>
      </c>
      <c r="H57" s="20"/>
      <c r="I57" s="20"/>
      <c r="J57" s="16"/>
      <c r="K57" s="31" t="s">
        <v>70</v>
      </c>
      <c r="L57" s="31" t="s">
        <v>269</v>
      </c>
    </row>
    <row r="58" spans="4:12">
      <c r="D58" s="10" t="s">
        <v>436</v>
      </c>
      <c r="E58" s="116">
        <f>F58*E55</f>
        <v>0</v>
      </c>
      <c r="F58" s="359">
        <v>6.8000000000000005E-2</v>
      </c>
      <c r="G58" s="73" t="s">
        <v>274</v>
      </c>
      <c r="H58" s="20"/>
      <c r="I58" s="20"/>
      <c r="J58" s="16"/>
      <c r="K58" s="31" t="s">
        <v>71</v>
      </c>
      <c r="L58" s="31" t="s">
        <v>270</v>
      </c>
    </row>
    <row r="59" spans="4:12">
      <c r="D59" s="10" t="s">
        <v>47</v>
      </c>
      <c r="E59" s="108">
        <f>F59*E55</f>
        <v>0</v>
      </c>
      <c r="F59" s="359">
        <v>0.03</v>
      </c>
      <c r="G59" s="72" t="s">
        <v>277</v>
      </c>
      <c r="H59" s="20"/>
      <c r="I59" s="20"/>
      <c r="J59" s="16"/>
      <c r="K59" s="31" t="s">
        <v>72</v>
      </c>
      <c r="L59" s="31" t="s">
        <v>271</v>
      </c>
    </row>
    <row r="60" spans="4:12">
      <c r="D60" s="384" t="s">
        <v>382</v>
      </c>
      <c r="E60" s="368">
        <v>6</v>
      </c>
      <c r="F60" s="23" t="s">
        <v>167</v>
      </c>
      <c r="G60" s="74"/>
      <c r="H60" s="383">
        <f>DATE(YEAR(E9),MONTH(E9)+E60,DAY(E9))</f>
        <v>42860</v>
      </c>
      <c r="I60" s="71" t="s">
        <v>150</v>
      </c>
      <c r="J60" s="118">
        <f>E60</f>
        <v>6</v>
      </c>
      <c r="K60" s="31" t="s">
        <v>86</v>
      </c>
    </row>
    <row r="61" spans="4:12">
      <c r="D61" s="10" t="s">
        <v>1</v>
      </c>
      <c r="E61" s="117">
        <f>E80+E81+E82</f>
        <v>36</v>
      </c>
      <c r="F61" s="27" t="s">
        <v>155</v>
      </c>
    </row>
    <row r="63" spans="4:12">
      <c r="D63" s="7" t="s">
        <v>22</v>
      </c>
      <c r="E63" s="448" t="s">
        <v>357</v>
      </c>
      <c r="G63" s="42"/>
    </row>
    <row r="64" spans="4:12">
      <c r="E64" s="547" t="s">
        <v>173</v>
      </c>
      <c r="F64" s="547"/>
      <c r="G64" s="547" t="s">
        <v>171</v>
      </c>
      <c r="H64" s="547"/>
      <c r="I64" s="57" t="s">
        <v>174</v>
      </c>
    </row>
    <row r="65" spans="2:13">
      <c r="D65" s="335"/>
      <c r="E65" s="59" t="s">
        <v>172</v>
      </c>
      <c r="F65" s="324" t="s">
        <v>38</v>
      </c>
      <c r="G65" s="59" t="s">
        <v>172</v>
      </c>
      <c r="H65" s="323" t="s">
        <v>38</v>
      </c>
      <c r="I65" s="58" t="s">
        <v>175</v>
      </c>
    </row>
    <row r="66" spans="2:13">
      <c r="D66" s="55" t="s">
        <v>4</v>
      </c>
      <c r="E66" s="123">
        <f>F66*$E$50</f>
        <v>0</v>
      </c>
      <c r="F66" s="369">
        <v>0</v>
      </c>
      <c r="G66" s="122">
        <f>IF(I66=0,0,$E$50*F66/I66)</f>
        <v>0</v>
      </c>
      <c r="H66" s="121" t="e">
        <f>G66/$E$50</f>
        <v>#DIV/0!</v>
      </c>
      <c r="I66" s="119">
        <v>1</v>
      </c>
      <c r="L66" s="31" t="s">
        <v>73</v>
      </c>
      <c r="M66" s="31" t="s">
        <v>215</v>
      </c>
    </row>
    <row r="67" spans="2:13">
      <c r="D67" s="11" t="s">
        <v>288</v>
      </c>
      <c r="E67" s="123">
        <f>F67*$E$50</f>
        <v>0</v>
      </c>
      <c r="F67" s="369">
        <v>0</v>
      </c>
      <c r="G67" s="116">
        <f>IF(I67=0,0,$E$50*F67/I67)</f>
        <v>0</v>
      </c>
      <c r="H67" s="121" t="e">
        <f>G67/$E$50</f>
        <v>#DIV/0!</v>
      </c>
      <c r="I67" s="119">
        <f>mec-mlan-1</f>
        <v>34</v>
      </c>
      <c r="K67" s="31" t="s">
        <v>297</v>
      </c>
      <c r="L67" s="31" t="s">
        <v>207</v>
      </c>
      <c r="M67" s="31" t="s">
        <v>209</v>
      </c>
    </row>
    <row r="68" spans="2:13">
      <c r="B68" s="447" t="s">
        <v>478</v>
      </c>
      <c r="D68" s="11" t="s">
        <v>286</v>
      </c>
      <c r="E68" s="123">
        <f>F68*$E$50</f>
        <v>0</v>
      </c>
      <c r="F68" s="369">
        <v>0</v>
      </c>
      <c r="G68" s="122">
        <f>IF(I68=0,0,$E$50*F68/I68)</f>
        <v>0</v>
      </c>
      <c r="H68" s="121" t="e">
        <f>G68/$E$50</f>
        <v>#DIV/0!</v>
      </c>
      <c r="I68" s="120">
        <f>VLOOKUP($J$81,Fluxo!$B$14:$AJ$213,32)</f>
        <v>5</v>
      </c>
      <c r="L68" s="31" t="s">
        <v>74</v>
      </c>
      <c r="M68" s="31" t="s">
        <v>214</v>
      </c>
    </row>
    <row r="69" spans="2:13">
      <c r="B69" s="447" t="s">
        <v>478</v>
      </c>
      <c r="D69" s="11" t="s">
        <v>437</v>
      </c>
      <c r="E69" s="123">
        <f>F69*$E$50</f>
        <v>0</v>
      </c>
      <c r="F69" s="369">
        <v>0</v>
      </c>
      <c r="G69" s="122">
        <f>IF(I69=0,0,$E$50*F69/I69)</f>
        <v>0</v>
      </c>
      <c r="H69" s="121" t="e">
        <f>G69/$E$50</f>
        <v>#DIV/0!</v>
      </c>
      <c r="I69" s="120">
        <f>VLOOKUP($J$81,Fluxo!$B$14:$AJ$213,35)</f>
        <v>3</v>
      </c>
      <c r="L69" s="31" t="s">
        <v>75</v>
      </c>
      <c r="M69" s="31" t="s">
        <v>210</v>
      </c>
    </row>
    <row r="70" spans="2:13">
      <c r="D70" s="11" t="s">
        <v>278</v>
      </c>
      <c r="E70" s="123">
        <f>F70*$E$50</f>
        <v>0</v>
      </c>
      <c r="F70" s="369">
        <v>0</v>
      </c>
      <c r="G70" s="122">
        <f>IF(I70=0,0,$E$50*F70/I70)</f>
        <v>0</v>
      </c>
      <c r="H70" s="121" t="e">
        <f>G70/$E$50</f>
        <v>#DIV/0!</v>
      </c>
      <c r="I70" s="119">
        <v>1</v>
      </c>
      <c r="L70" s="31" t="s">
        <v>76</v>
      </c>
      <c r="M70" s="31" t="s">
        <v>211</v>
      </c>
    </row>
    <row r="71" spans="2:13">
      <c r="D71" s="11" t="s">
        <v>39</v>
      </c>
      <c r="E71" s="123">
        <f>SUM(E66:E70)</f>
        <v>0</v>
      </c>
      <c r="F71" s="328">
        <f>SUM(F66:F70)</f>
        <v>0</v>
      </c>
      <c r="G71" s="548" t="str">
        <f>IF(F71&gt;1," &lt;-  Total recebido até as chaves não pode ser maior que 100%", " ")</f>
        <v xml:space="preserve"> </v>
      </c>
      <c r="H71" s="549"/>
      <c r="I71" s="549"/>
      <c r="J71" s="549"/>
      <c r="L71" s="31"/>
    </row>
    <row r="72" spans="2:13">
      <c r="D72" s="11" t="s">
        <v>477</v>
      </c>
      <c r="E72" s="125">
        <f>F72*E50</f>
        <v>0</v>
      </c>
      <c r="F72" s="124">
        <f>1-F71</f>
        <v>1</v>
      </c>
      <c r="G72" s="548"/>
      <c r="H72" s="549"/>
      <c r="I72" s="549"/>
      <c r="J72" s="549"/>
      <c r="K72" s="31" t="s">
        <v>77</v>
      </c>
      <c r="L72" s="31"/>
    </row>
    <row r="73" spans="2:13">
      <c r="D73" s="11" t="s">
        <v>363</v>
      </c>
      <c r="E73" s="30" t="s">
        <v>179</v>
      </c>
      <c r="F73" s="370">
        <v>0</v>
      </c>
      <c r="G73" s="126">
        <f>PMT((F73+1)^(1/12)-1,I73,$E$72)*-1</f>
        <v>0</v>
      </c>
      <c r="H73" s="76" t="s">
        <v>336</v>
      </c>
      <c r="I73" s="371">
        <f>25*12</f>
        <v>300</v>
      </c>
      <c r="K73" s="31" t="s">
        <v>195</v>
      </c>
      <c r="L73" s="31" t="s">
        <v>290</v>
      </c>
      <c r="M73" s="31" t="s">
        <v>212</v>
      </c>
    </row>
    <row r="74" spans="2:13">
      <c r="D74" s="11" t="s">
        <v>364</v>
      </c>
      <c r="E74" s="30" t="s">
        <v>179</v>
      </c>
      <c r="F74" s="370">
        <v>0</v>
      </c>
      <c r="G74" s="126">
        <f>PMT((F74+1)^(1/12)-1,I74,$E$72)*-1</f>
        <v>0</v>
      </c>
      <c r="H74" s="76" t="s">
        <v>336</v>
      </c>
      <c r="I74" s="371">
        <f>12*3</f>
        <v>36</v>
      </c>
      <c r="K74" s="31" t="s">
        <v>196</v>
      </c>
      <c r="L74" s="31" t="s">
        <v>291</v>
      </c>
      <c r="M74" s="31" t="s">
        <v>213</v>
      </c>
    </row>
    <row r="75" spans="2:13" ht="15" customHeight="1">
      <c r="D75" s="11"/>
      <c r="E75" s="555" t="s">
        <v>358</v>
      </c>
      <c r="F75" s="555"/>
      <c r="G75" s="555"/>
      <c r="H75" s="555"/>
      <c r="I75" s="555"/>
      <c r="J75" s="555"/>
    </row>
    <row r="76" spans="2:13">
      <c r="D76" s="11"/>
      <c r="E76" s="555"/>
      <c r="F76" s="555"/>
      <c r="G76" s="555"/>
      <c r="H76" s="555"/>
      <c r="I76" s="555"/>
      <c r="J76" s="555"/>
    </row>
    <row r="77" spans="2:13">
      <c r="D77" s="11"/>
      <c r="E77" s="555"/>
      <c r="F77" s="555"/>
      <c r="G77" s="555"/>
      <c r="H77" s="555"/>
      <c r="I77" s="555"/>
      <c r="J77" s="555"/>
    </row>
    <row r="78" spans="2:13">
      <c r="D78" s="11"/>
      <c r="E78" s="326"/>
      <c r="F78" s="326"/>
      <c r="G78" s="326"/>
      <c r="H78" s="326"/>
      <c r="I78" s="326"/>
      <c r="J78" s="326"/>
    </row>
    <row r="79" spans="2:13">
      <c r="D79" s="7" t="s">
        <v>5</v>
      </c>
      <c r="E79" s="448" t="s">
        <v>357</v>
      </c>
      <c r="G79" s="14"/>
    </row>
    <row r="80" spans="2:13">
      <c r="D80" s="10" t="s">
        <v>472</v>
      </c>
      <c r="E80" s="368">
        <v>9</v>
      </c>
      <c r="F80" s="26" t="s">
        <v>177</v>
      </c>
      <c r="G80" s="33"/>
      <c r="H80" s="111">
        <f>DATE(YEAR(H60),MONTH(H60)+E80,DAY(H60))</f>
        <v>43136</v>
      </c>
      <c r="I80" s="40" t="s">
        <v>150</v>
      </c>
      <c r="J80" s="128">
        <f>mlan+E80</f>
        <v>15</v>
      </c>
      <c r="K80" s="31" t="s">
        <v>78</v>
      </c>
      <c r="L80" s="31"/>
    </row>
    <row r="81" spans="4:17">
      <c r="D81" s="10" t="s">
        <v>473</v>
      </c>
      <c r="E81" s="368">
        <v>24</v>
      </c>
      <c r="F81" s="26" t="s">
        <v>337</v>
      </c>
      <c r="G81" s="33"/>
      <c r="H81" s="111">
        <f>DATE(YEAR(H80),MONTH(H80)+E81,DAY(H80))</f>
        <v>43866</v>
      </c>
      <c r="I81" s="40" t="s">
        <v>150</v>
      </c>
      <c r="J81" s="128">
        <f>mio+prazo-1</f>
        <v>38</v>
      </c>
      <c r="K81" s="31" t="s">
        <v>79</v>
      </c>
      <c r="L81" s="31" t="s">
        <v>282</v>
      </c>
    </row>
    <row r="82" spans="4:17">
      <c r="D82" s="10" t="s">
        <v>276</v>
      </c>
      <c r="E82" s="368">
        <v>3</v>
      </c>
      <c r="F82" s="39" t="s">
        <v>176</v>
      </c>
      <c r="G82" s="60"/>
      <c r="H82" s="127">
        <f>DATE(YEAR(H81),MONTH(H81)+E82,DAY(H81))</f>
        <v>43956</v>
      </c>
      <c r="I82" s="40" t="s">
        <v>150</v>
      </c>
      <c r="J82" s="128">
        <f>mlan+E82+prazo+E80-1</f>
        <v>41</v>
      </c>
      <c r="K82" s="31" t="s">
        <v>208</v>
      </c>
      <c r="L82" s="31"/>
    </row>
    <row r="83" spans="4:17" ht="16">
      <c r="D83" s="10" t="s">
        <v>41</v>
      </c>
      <c r="E83" s="129" t="e">
        <f>IF(E28=0,"ATC não informada",E85/E28)</f>
        <v>#DIV/0!</v>
      </c>
      <c r="F83" s="26" t="s">
        <v>438</v>
      </c>
      <c r="G83" s="33"/>
      <c r="H83" s="425"/>
    </row>
    <row r="84" spans="4:17" ht="16">
      <c r="D84" s="10" t="s">
        <v>41</v>
      </c>
      <c r="E84" s="130" t="e">
        <f>E85/E26</f>
        <v>#DIV/0!</v>
      </c>
      <c r="F84" s="23" t="s">
        <v>178</v>
      </c>
      <c r="G84" s="48"/>
      <c r="H84" s="61"/>
      <c r="L84" s="15" t="s">
        <v>497</v>
      </c>
    </row>
    <row r="85" spans="4:17">
      <c r="D85" s="10" t="s">
        <v>543</v>
      </c>
      <c r="E85" s="372">
        <f>3600*atp</f>
        <v>0</v>
      </c>
      <c r="F85" s="26" t="s">
        <v>450</v>
      </c>
      <c r="G85" s="33"/>
      <c r="H85" s="20"/>
      <c r="I85" s="16"/>
      <c r="K85" s="31" t="s">
        <v>60</v>
      </c>
      <c r="L85" s="474" t="s">
        <v>256</v>
      </c>
      <c r="M85" s="474" t="s">
        <v>257</v>
      </c>
      <c r="N85" s="466" t="s">
        <v>258</v>
      </c>
      <c r="O85" s="474" t="s">
        <v>259</v>
      </c>
      <c r="P85" s="466" t="s">
        <v>496</v>
      </c>
    </row>
    <row r="86" spans="4:17">
      <c r="D86" s="75" t="s">
        <v>495</v>
      </c>
      <c r="E86" s="463"/>
      <c r="F86" s="23"/>
      <c r="G86" s="48"/>
      <c r="H86" s="24"/>
      <c r="I86" s="24"/>
      <c r="L86" s="475">
        <v>-10</v>
      </c>
      <c r="M86" s="36"/>
      <c r="N86" s="36">
        <v>0</v>
      </c>
      <c r="O86" s="36"/>
      <c r="P86" s="37"/>
    </row>
    <row r="87" spans="4:17">
      <c r="D87" s="13" t="s">
        <v>67</v>
      </c>
      <c r="E87" s="378">
        <v>0.2</v>
      </c>
      <c r="F87" s="23"/>
      <c r="G87" s="48"/>
      <c r="H87" s="24"/>
      <c r="I87" s="24"/>
      <c r="L87" s="467">
        <f>mio</f>
        <v>15</v>
      </c>
      <c r="M87" s="468">
        <f>L87+O87-1</f>
        <v>22</v>
      </c>
      <c r="N87" s="469">
        <f>E87</f>
        <v>0.2</v>
      </c>
      <c r="O87" s="468">
        <f>prazo/3</f>
        <v>8</v>
      </c>
      <c r="P87" s="470">
        <f>N87/O87</f>
        <v>2.5000000000000001E-2</v>
      </c>
      <c r="Q87" s="465"/>
    </row>
    <row r="88" spans="4:17">
      <c r="D88" s="13" t="s">
        <v>68</v>
      </c>
      <c r="E88" s="378">
        <v>0.42</v>
      </c>
      <c r="F88" s="23"/>
      <c r="G88" s="48"/>
      <c r="H88" s="24"/>
      <c r="I88" s="24"/>
      <c r="L88" s="471">
        <f>M87+1</f>
        <v>23</v>
      </c>
      <c r="M88" s="468">
        <f>L88+O88-1</f>
        <v>30</v>
      </c>
      <c r="N88" s="469">
        <f>E88</f>
        <v>0.42</v>
      </c>
      <c r="O88" s="468">
        <f>prazo/3</f>
        <v>8</v>
      </c>
      <c r="P88" s="470">
        <f>N88/O88</f>
        <v>5.2499999999999998E-2</v>
      </c>
      <c r="Q88" s="465"/>
    </row>
    <row r="89" spans="4:17">
      <c r="D89" s="13" t="s">
        <v>69</v>
      </c>
      <c r="E89" s="464">
        <f>1-E88-E87</f>
        <v>0.38000000000000006</v>
      </c>
      <c r="F89" s="557" t="str">
        <f>IF(E89&lt;0,"Soma dos patamares precisa ser igual a 100%",IF(E89&gt;1,"Soma dos patamares precisa ser igual a 100%"," "))</f>
        <v xml:space="preserve"> </v>
      </c>
      <c r="G89" s="558"/>
      <c r="H89" s="558"/>
      <c r="L89" s="471">
        <f>M88+1</f>
        <v>31</v>
      </c>
      <c r="M89" s="468">
        <f>L89+O89-1</f>
        <v>38</v>
      </c>
      <c r="N89" s="469">
        <f>E89</f>
        <v>0.38000000000000006</v>
      </c>
      <c r="O89" s="468">
        <f>prazo/3</f>
        <v>8</v>
      </c>
      <c r="P89" s="470">
        <f>N89/O89</f>
        <v>4.7500000000000007E-2</v>
      </c>
      <c r="Q89" s="465"/>
    </row>
    <row r="90" spans="4:17">
      <c r="I90" s="556"/>
      <c r="J90" s="556"/>
      <c r="L90" s="472">
        <f>M89+1</f>
        <v>39</v>
      </c>
      <c r="M90" s="74"/>
      <c r="N90" s="74">
        <v>0</v>
      </c>
      <c r="O90" s="74"/>
      <c r="P90" s="473"/>
    </row>
    <row r="91" spans="4:17">
      <c r="D91" s="9" t="s">
        <v>27</v>
      </c>
      <c r="E91" s="579" t="s">
        <v>170</v>
      </c>
      <c r="F91" s="579"/>
      <c r="G91" s="579"/>
      <c r="H91" s="155">
        <f>E25-E33-E34-E35</f>
        <v>0</v>
      </c>
      <c r="K91" s="31" t="s">
        <v>300</v>
      </c>
    </row>
    <row r="92" spans="4:17">
      <c r="D92" s="9"/>
      <c r="F92" s="54"/>
      <c r="G92" s="54"/>
      <c r="H92" s="65"/>
      <c r="J92" s="24"/>
    </row>
    <row r="93" spans="4:17">
      <c r="E93" s="448" t="s">
        <v>357</v>
      </c>
      <c r="F93" s="563" t="s">
        <v>49</v>
      </c>
      <c r="G93" s="578"/>
      <c r="H93" s="578"/>
      <c r="I93" s="20"/>
      <c r="J93" s="66"/>
    </row>
    <row r="94" spans="4:17">
      <c r="D94" s="9"/>
      <c r="E94" s="28" t="s">
        <v>168</v>
      </c>
      <c r="F94" s="91" t="s">
        <v>2</v>
      </c>
      <c r="G94" s="552" t="s">
        <v>159</v>
      </c>
      <c r="H94" s="553"/>
      <c r="I94" s="554" t="s">
        <v>169</v>
      </c>
      <c r="J94" s="554"/>
    </row>
    <row r="95" spans="4:17">
      <c r="D95" s="13" t="s">
        <v>65</v>
      </c>
      <c r="E95" s="120">
        <v>1</v>
      </c>
      <c r="F95" s="374">
        <v>0</v>
      </c>
      <c r="G95" s="134">
        <f>F95*E95</f>
        <v>0</v>
      </c>
      <c r="H95" s="135" t="e">
        <f>G95/$H$91</f>
        <v>#DIV/0!</v>
      </c>
      <c r="I95" s="120">
        <f>G95</f>
        <v>0</v>
      </c>
      <c r="J95" s="103" t="e">
        <f t="shared" ref="J95:J100" si="0">I95/$H$91</f>
        <v>#DIV/0!</v>
      </c>
      <c r="K95" s="31" t="s">
        <v>200</v>
      </c>
      <c r="L95">
        <f>mlan</f>
        <v>6</v>
      </c>
      <c r="M95">
        <f>G95</f>
        <v>0</v>
      </c>
      <c r="N95" s="462"/>
      <c r="O95" s="462"/>
      <c r="P95" s="462"/>
      <c r="Q95" s="462"/>
    </row>
    <row r="96" spans="4:17">
      <c r="D96" s="13" t="s">
        <v>66</v>
      </c>
      <c r="E96" s="131">
        <f>E80-1</f>
        <v>8</v>
      </c>
      <c r="F96" s="374">
        <v>0</v>
      </c>
      <c r="G96" s="134">
        <f>F96*E96</f>
        <v>0</v>
      </c>
      <c r="H96" s="135" t="e">
        <f t="shared" ref="H96:H100" si="1">G96/$H$91</f>
        <v>#DIV/0!</v>
      </c>
      <c r="I96" s="120">
        <f>I95+G96</f>
        <v>0</v>
      </c>
      <c r="J96" s="103" t="e">
        <f t="shared" si="0"/>
        <v>#DIV/0!</v>
      </c>
      <c r="K96" s="31" t="s">
        <v>201</v>
      </c>
      <c r="L96">
        <f>E96+L95</f>
        <v>14</v>
      </c>
      <c r="M96">
        <f>M95+G96</f>
        <v>0</v>
      </c>
      <c r="N96" s="462"/>
      <c r="O96" s="462"/>
      <c r="P96" s="462"/>
      <c r="Q96" s="462"/>
    </row>
    <row r="97" spans="2:17">
      <c r="D97" s="13" t="s">
        <v>67</v>
      </c>
      <c r="E97" s="131">
        <f>$E$81/3</f>
        <v>8</v>
      </c>
      <c r="F97" s="374">
        <v>0</v>
      </c>
      <c r="G97" s="134">
        <f>F97*E97</f>
        <v>0</v>
      </c>
      <c r="H97" s="135" t="e">
        <f t="shared" si="1"/>
        <v>#DIV/0!</v>
      </c>
      <c r="I97" s="120">
        <f>I96+G97</f>
        <v>0</v>
      </c>
      <c r="J97" s="103" t="e">
        <f t="shared" si="0"/>
        <v>#DIV/0!</v>
      </c>
      <c r="K97" s="31" t="s">
        <v>202</v>
      </c>
      <c r="L97">
        <f>L96+E97</f>
        <v>22</v>
      </c>
      <c r="M97">
        <f>M96+G97</f>
        <v>0</v>
      </c>
      <c r="N97" s="462"/>
      <c r="O97" s="462"/>
      <c r="P97" s="462"/>
      <c r="Q97" s="462"/>
    </row>
    <row r="98" spans="2:17">
      <c r="D98" s="13" t="s">
        <v>68</v>
      </c>
      <c r="E98" s="131">
        <f>$E$81/3</f>
        <v>8</v>
      </c>
      <c r="F98" s="374">
        <v>0</v>
      </c>
      <c r="G98" s="134">
        <f>F98*E98</f>
        <v>0</v>
      </c>
      <c r="H98" s="135" t="e">
        <f t="shared" si="1"/>
        <v>#DIV/0!</v>
      </c>
      <c r="I98" s="120">
        <f>I97+G98</f>
        <v>0</v>
      </c>
      <c r="J98" s="103" t="e">
        <f t="shared" si="0"/>
        <v>#DIV/0!</v>
      </c>
      <c r="K98" s="31" t="s">
        <v>203</v>
      </c>
      <c r="L98">
        <f>L97+E98</f>
        <v>30</v>
      </c>
      <c r="M98">
        <f>M97+G98</f>
        <v>0</v>
      </c>
      <c r="N98" s="462"/>
      <c r="O98" s="462"/>
      <c r="P98" s="462"/>
      <c r="Q98" s="462"/>
    </row>
    <row r="99" spans="2:17">
      <c r="D99" s="13" t="s">
        <v>69</v>
      </c>
      <c r="E99" s="132">
        <f>$E$81/3</f>
        <v>8</v>
      </c>
      <c r="F99" s="374">
        <v>0</v>
      </c>
      <c r="G99" s="134">
        <f>F99*E99</f>
        <v>0</v>
      </c>
      <c r="H99" s="135" t="e">
        <f t="shared" si="1"/>
        <v>#DIV/0!</v>
      </c>
      <c r="I99" s="120">
        <f>I98+G99</f>
        <v>0</v>
      </c>
      <c r="J99" s="103" t="e">
        <f t="shared" si="0"/>
        <v>#DIV/0!</v>
      </c>
      <c r="K99" s="31" t="s">
        <v>204</v>
      </c>
      <c r="L99">
        <f>L98+E99</f>
        <v>38</v>
      </c>
      <c r="N99" s="462"/>
      <c r="O99" s="462"/>
      <c r="P99" s="462"/>
      <c r="Q99" s="462"/>
    </row>
    <row r="100" spans="2:17">
      <c r="B100" s="447" t="s">
        <v>478</v>
      </c>
      <c r="D100" s="13" t="s">
        <v>442</v>
      </c>
      <c r="E100" s="373">
        <v>0</v>
      </c>
      <c r="F100" s="133" t="e">
        <f>INT(G100/E100)</f>
        <v>#DIV/0!</v>
      </c>
      <c r="G100" s="327">
        <f>E25-E33-E34-E35-SUM(G95:G99)</f>
        <v>0</v>
      </c>
      <c r="H100" s="135" t="e">
        <f t="shared" si="1"/>
        <v>#DIV/0!</v>
      </c>
      <c r="I100" s="120">
        <f>I99+G100</f>
        <v>0</v>
      </c>
      <c r="J100" s="103" t="e">
        <f t="shared" si="0"/>
        <v>#DIV/0!</v>
      </c>
      <c r="K100" s="31" t="s">
        <v>205</v>
      </c>
    </row>
    <row r="101" spans="2:17">
      <c r="D101" s="13"/>
      <c r="E101" s="577" t="str">
        <f>IF(G100&lt;0,"O n° de unidades vendidas entre o lançamento e o término das obras excede o n° de unidades disponíveis para venda (n° total de unidades - n° de unidades permutadas)"," ")</f>
        <v xml:space="preserve"> </v>
      </c>
      <c r="F101" s="577"/>
      <c r="G101" s="577"/>
      <c r="H101" s="577"/>
      <c r="I101" s="577"/>
      <c r="J101" s="577"/>
    </row>
    <row r="102" spans="2:17">
      <c r="E102" s="577"/>
      <c r="F102" s="577"/>
      <c r="G102" s="577"/>
      <c r="H102" s="577"/>
      <c r="I102" s="577"/>
      <c r="J102" s="577"/>
    </row>
    <row r="103" spans="2:17">
      <c r="D103" s="7" t="s">
        <v>6</v>
      </c>
      <c r="E103" s="448" t="s">
        <v>357</v>
      </c>
      <c r="G103" s="50"/>
      <c r="H103" s="50"/>
      <c r="I103" s="17" t="s">
        <v>43</v>
      </c>
      <c r="J103" s="29" t="s">
        <v>46</v>
      </c>
    </row>
    <row r="104" spans="2:17">
      <c r="E104" s="28" t="s">
        <v>156</v>
      </c>
      <c r="F104" s="92" t="s">
        <v>233</v>
      </c>
      <c r="G104" s="563" t="s">
        <v>45</v>
      </c>
      <c r="H104" s="564"/>
      <c r="I104" s="18" t="s">
        <v>160</v>
      </c>
      <c r="J104" s="91" t="s">
        <v>157</v>
      </c>
    </row>
    <row r="105" spans="2:17">
      <c r="D105" s="10" t="s">
        <v>44</v>
      </c>
      <c r="E105" s="136">
        <f>F105*$E$55</f>
        <v>0</v>
      </c>
      <c r="F105" s="375">
        <v>0</v>
      </c>
      <c r="G105" s="30" t="s">
        <v>55</v>
      </c>
      <c r="H105" s="376">
        <v>-4</v>
      </c>
      <c r="I105" s="111">
        <f>DATE(YEAR(H60),MONTH(H60)+H105,DAY(H60))</f>
        <v>42740</v>
      </c>
      <c r="J105" s="371">
        <v>24</v>
      </c>
      <c r="K105" s="31" t="s">
        <v>216</v>
      </c>
      <c r="L105" s="28">
        <f>mlan+H105</f>
        <v>2</v>
      </c>
      <c r="M105" s="15" t="s">
        <v>217</v>
      </c>
      <c r="N105" t="s">
        <v>251</v>
      </c>
    </row>
    <row r="106" spans="2:17">
      <c r="D106" s="10" t="s">
        <v>542</v>
      </c>
      <c r="E106" s="136">
        <f>F106*$E$55</f>
        <v>0</v>
      </c>
      <c r="F106" s="375">
        <v>0</v>
      </c>
      <c r="G106" s="30" t="s">
        <v>100</v>
      </c>
      <c r="H106" s="376">
        <v>1</v>
      </c>
      <c r="I106" s="111">
        <f>DATE(YEAR(E9),MONTH(E9)+H106,DAY(E9))</f>
        <v>42709</v>
      </c>
      <c r="J106" s="371">
        <v>6</v>
      </c>
      <c r="K106" s="31" t="s">
        <v>87</v>
      </c>
      <c r="L106" s="28">
        <f>0+H106</f>
        <v>1</v>
      </c>
      <c r="M106" s="15" t="s">
        <v>89</v>
      </c>
      <c r="N106" t="s">
        <v>252</v>
      </c>
    </row>
    <row r="107" spans="2:17">
      <c r="D107" s="10" t="s">
        <v>232</v>
      </c>
      <c r="E107" s="136">
        <f>F107*$E$55</f>
        <v>0</v>
      </c>
      <c r="F107" s="375">
        <v>0</v>
      </c>
      <c r="G107" s="30" t="s">
        <v>55</v>
      </c>
      <c r="H107" s="376">
        <v>-1</v>
      </c>
      <c r="I107" s="111">
        <f>DATE(YEAR(H60),MONTH(H60)+H107,DAY(E9))</f>
        <v>42830</v>
      </c>
      <c r="J107" s="371">
        <v>18</v>
      </c>
      <c r="K107" s="31" t="s">
        <v>88</v>
      </c>
      <c r="L107" s="28">
        <f>mlan+H107</f>
        <v>5</v>
      </c>
      <c r="M107" s="15" t="s">
        <v>90</v>
      </c>
      <c r="N107" t="s">
        <v>253</v>
      </c>
    </row>
    <row r="109" spans="2:17">
      <c r="D109" s="7" t="s">
        <v>59</v>
      </c>
      <c r="E109" s="448" t="s">
        <v>357</v>
      </c>
      <c r="I109" s="83"/>
      <c r="J109" s="87"/>
    </row>
    <row r="110" spans="2:17">
      <c r="D110" s="10" t="s">
        <v>56</v>
      </c>
      <c r="E110" s="137">
        <f>(G110+1)^(1/12)-1</f>
        <v>0</v>
      </c>
      <c r="F110" s="32" t="s">
        <v>105</v>
      </c>
      <c r="G110" s="359">
        <v>0</v>
      </c>
      <c r="H110" s="86" t="s">
        <v>7</v>
      </c>
      <c r="I110" s="83"/>
      <c r="J110" s="82"/>
      <c r="K110" s="31" t="s">
        <v>91</v>
      </c>
    </row>
    <row r="111" spans="2:17">
      <c r="D111" s="10" t="s">
        <v>341</v>
      </c>
      <c r="E111" s="96">
        <f>IF(G111="Sem Correção",0,IF(G111="IGP-M",igpm,IF(G111="INCC",incc,IF(G111="TR",tr,0))))</f>
        <v>0</v>
      </c>
      <c r="F111" s="85" t="s">
        <v>333</v>
      </c>
      <c r="G111" s="377" t="s">
        <v>332</v>
      </c>
      <c r="H111" s="23"/>
      <c r="K111" s="31" t="s">
        <v>98</v>
      </c>
    </row>
    <row r="112" spans="2:17">
      <c r="D112" s="10" t="s">
        <v>342</v>
      </c>
      <c r="E112" s="116">
        <f>E85*G112</f>
        <v>0</v>
      </c>
      <c r="F112" s="47" t="s">
        <v>338</v>
      </c>
      <c r="G112" s="365">
        <v>0</v>
      </c>
      <c r="H112" s="86" t="s">
        <v>161</v>
      </c>
      <c r="K112" s="31" t="s">
        <v>92</v>
      </c>
      <c r="M112">
        <f>vfo</f>
        <v>0</v>
      </c>
      <c r="N112">
        <f>prazo</f>
        <v>24</v>
      </c>
      <c r="O112">
        <f>M112/N112</f>
        <v>0</v>
      </c>
    </row>
    <row r="113" spans="2:11">
      <c r="B113" s="447"/>
      <c r="D113" s="10" t="s">
        <v>343</v>
      </c>
      <c r="E113" s="108">
        <f>E112*G113</f>
        <v>0</v>
      </c>
      <c r="F113" s="47" t="s">
        <v>338</v>
      </c>
      <c r="G113" s="365">
        <v>0</v>
      </c>
      <c r="H113" s="27" t="s">
        <v>162</v>
      </c>
      <c r="K113" s="31" t="s">
        <v>197</v>
      </c>
    </row>
    <row r="114" spans="2:11">
      <c r="D114" s="10" t="s">
        <v>303</v>
      </c>
      <c r="E114" s="378">
        <v>0.2</v>
      </c>
      <c r="G114" s="334"/>
      <c r="K114" s="31" t="s">
        <v>93</v>
      </c>
    </row>
    <row r="115" spans="2:11">
      <c r="D115" s="10" t="s">
        <v>304</v>
      </c>
      <c r="E115" s="378">
        <v>0.4</v>
      </c>
      <c r="F115" s="88"/>
      <c r="K115" s="31" t="s">
        <v>302</v>
      </c>
    </row>
    <row r="116" spans="2:11">
      <c r="D116" s="10" t="s">
        <v>441</v>
      </c>
      <c r="E116" s="379" t="s">
        <v>8</v>
      </c>
      <c r="F116" s="35" t="s">
        <v>335</v>
      </c>
      <c r="G116" s="36"/>
      <c r="H116" s="37"/>
      <c r="K116" s="31" t="s">
        <v>94</v>
      </c>
    </row>
    <row r="117" spans="2:11">
      <c r="D117" s="10" t="s">
        <v>308</v>
      </c>
      <c r="E117" s="380">
        <v>0</v>
      </c>
      <c r="F117" s="81" t="s">
        <v>309</v>
      </c>
      <c r="G117" s="20"/>
      <c r="H117" s="111">
        <f>DATE(YEAR(H80),MONTH(H80)+E117,DAY(H80))</f>
        <v>43136</v>
      </c>
      <c r="I117" s="80" t="s">
        <v>150</v>
      </c>
      <c r="J117" s="138">
        <f>mio+E117</f>
        <v>15</v>
      </c>
      <c r="K117" s="31" t="s">
        <v>310</v>
      </c>
    </row>
    <row r="118" spans="2:11">
      <c r="D118" s="10" t="s">
        <v>311</v>
      </c>
      <c r="E118" s="140" t="e">
        <f>J118-mio</f>
        <v>#DIV/0!</v>
      </c>
      <c r="F118" s="85" t="s">
        <v>309</v>
      </c>
      <c r="G118" s="20"/>
      <c r="H118" s="111" t="e">
        <f>DATE(YEAR(H80),MONTH(H80)+E118,DAY(H80))</f>
        <v>#DIV/0!</v>
      </c>
      <c r="I118" s="84" t="s">
        <v>150</v>
      </c>
      <c r="J118" s="138" t="e">
        <f>MAX(mmo,mmv)</f>
        <v>#DIV/0!</v>
      </c>
      <c r="K118" s="31" t="s">
        <v>315</v>
      </c>
    </row>
    <row r="119" spans="2:11">
      <c r="D119" s="10" t="s">
        <v>299</v>
      </c>
      <c r="E119" s="380">
        <v>4</v>
      </c>
      <c r="F119" s="25" t="s">
        <v>164</v>
      </c>
      <c r="G119" s="20"/>
      <c r="H119" s="111">
        <f>DATE(YEAR(H82),MONTH(H82)+E119,DAY(H82))</f>
        <v>44079</v>
      </c>
      <c r="I119" s="40" t="s">
        <v>150</v>
      </c>
      <c r="J119" s="138">
        <f>mec+E119</f>
        <v>45</v>
      </c>
      <c r="K119" s="31" t="s">
        <v>95</v>
      </c>
    </row>
    <row r="120" spans="2:11">
      <c r="D120" s="62" t="s">
        <v>57</v>
      </c>
      <c r="E120" s="139" t="e">
        <f>tjfo*-1</f>
        <v>#DIV/0!</v>
      </c>
      <c r="G120" s="424" t="s">
        <v>357</v>
      </c>
      <c r="H120" s="56"/>
    </row>
    <row r="121" spans="2:11">
      <c r="D121" s="10" t="s">
        <v>58</v>
      </c>
      <c r="E121" s="125" t="e">
        <f>E120+E112</f>
        <v>#DIV/0!</v>
      </c>
      <c r="H121" s="56"/>
    </row>
    <row r="122" spans="2:11">
      <c r="C122" s="446"/>
      <c r="D122" s="427" t="s">
        <v>476</v>
      </c>
      <c r="E122" s="381">
        <v>1</v>
      </c>
      <c r="F122" s="25" t="s">
        <v>163</v>
      </c>
      <c r="G122" s="20"/>
      <c r="H122" s="141">
        <f>INT((E25-E33-E34-E35)*E122)</f>
        <v>0</v>
      </c>
      <c r="I122" s="16" t="s">
        <v>34</v>
      </c>
      <c r="J122" s="24"/>
      <c r="K122" s="31" t="s">
        <v>218</v>
      </c>
    </row>
    <row r="123" spans="2:11">
      <c r="D123" s="10" t="s">
        <v>287</v>
      </c>
      <c r="E123" s="142">
        <f>1-E122</f>
        <v>0</v>
      </c>
      <c r="F123" s="72" t="s">
        <v>163</v>
      </c>
      <c r="G123" s="20"/>
      <c r="H123" s="141">
        <f>H91-nurb</f>
        <v>0</v>
      </c>
      <c r="I123" s="16" t="s">
        <v>34</v>
      </c>
      <c r="J123" s="24"/>
      <c r="K123" s="31" t="s">
        <v>292</v>
      </c>
    </row>
    <row r="124" spans="2:11">
      <c r="B124" s="575" t="s">
        <v>365</v>
      </c>
      <c r="C124" s="575"/>
      <c r="D124" s="576"/>
      <c r="E124" s="143" t="e">
        <f>H122*F72*E56</f>
        <v>#DIV/0!</v>
      </c>
      <c r="F124" s="325"/>
      <c r="G124" s="334"/>
      <c r="K124" s="31" t="s">
        <v>219</v>
      </c>
    </row>
    <row r="126" spans="2:11">
      <c r="D126" s="568" t="s">
        <v>50</v>
      </c>
      <c r="E126" s="568"/>
      <c r="H126" s="331"/>
      <c r="I126" s="330"/>
    </row>
    <row r="127" spans="2:11">
      <c r="D127" s="44"/>
      <c r="E127" s="44"/>
      <c r="F127" s="44"/>
      <c r="G127" s="44"/>
      <c r="H127" s="44"/>
    </row>
    <row r="128" spans="2:11">
      <c r="D128" s="10" t="s">
        <v>356</v>
      </c>
      <c r="E128" s="572">
        <f>E4</f>
        <v>0</v>
      </c>
      <c r="F128" s="573"/>
      <c r="G128" s="573"/>
      <c r="H128" s="573"/>
      <c r="I128" s="574"/>
    </row>
    <row r="129" spans="4:10">
      <c r="D129" s="10" t="s">
        <v>33</v>
      </c>
      <c r="E129" s="565">
        <f>E5</f>
        <v>0</v>
      </c>
      <c r="F129" s="566"/>
      <c r="G129" s="566"/>
      <c r="H129" s="566"/>
      <c r="I129" s="567"/>
    </row>
    <row r="130" spans="4:10">
      <c r="E130" s="448" t="s">
        <v>357</v>
      </c>
    </row>
    <row r="131" spans="4:10">
      <c r="D131" s="45" t="s">
        <v>51</v>
      </c>
      <c r="H131" s="53" t="s">
        <v>166</v>
      </c>
      <c r="I131" s="144">
        <f>E8</f>
        <v>42679</v>
      </c>
    </row>
    <row r="132" spans="4:10" ht="16" thickBot="1"/>
    <row r="133" spans="4:10">
      <c r="D133" s="43" t="s">
        <v>480</v>
      </c>
      <c r="E133" s="449" t="e">
        <f>E134+E135</f>
        <v>#DIV/0!</v>
      </c>
      <c r="G133" s="333"/>
    </row>
    <row r="134" spans="4:10">
      <c r="D134" s="10" t="s">
        <v>102</v>
      </c>
      <c r="E134" s="123">
        <f>vgv</f>
        <v>0</v>
      </c>
      <c r="G134" s="333"/>
    </row>
    <row r="135" spans="4:10">
      <c r="D135" s="10" t="s">
        <v>482</v>
      </c>
      <c r="E135" s="123" t="e">
        <f>Fluxo!AN11-vgv</f>
        <v>#DIV/0!</v>
      </c>
      <c r="G135" s="333"/>
    </row>
    <row r="136" spans="4:10" ht="16" thickBot="1">
      <c r="E136" s="448" t="s">
        <v>357</v>
      </c>
    </row>
    <row r="137" spans="4:10" ht="16" thickBot="1">
      <c r="D137" s="43" t="s">
        <v>481</v>
      </c>
      <c r="E137" s="450" t="e">
        <f>SUM(E138:E149)</f>
        <v>#DIV/0!</v>
      </c>
      <c r="F137" s="146" t="e">
        <f t="shared" ref="F137:F149" si="2">E137/vgv*-1</f>
        <v>#DIV/0!</v>
      </c>
      <c r="G137" s="16" t="s">
        <v>104</v>
      </c>
      <c r="H137" s="8"/>
      <c r="I137" s="8"/>
      <c r="J137" s="8"/>
    </row>
    <row r="138" spans="4:10">
      <c r="D138" s="153" t="str">
        <f>D39</f>
        <v>Valor total pago em dinheiro pelo terreno</v>
      </c>
      <c r="E138" s="145">
        <f>IF(cmt="IGP-M",-vtd,IF(cmt="SC",-tsc,-tcc))</f>
        <v>0</v>
      </c>
      <c r="F138" s="146" t="e">
        <f t="shared" si="2"/>
        <v>#DIV/0!</v>
      </c>
      <c r="G138" s="16" t="s">
        <v>104</v>
      </c>
      <c r="H138" s="560" t="str">
        <f>IF(cmt="SC","Valor do terreno deflacionado",IF(cmt="INCC","Valor do terreno corrigido pelo delta (INCC - IGPM)"," "))</f>
        <v>Valor do terreno deflacionado</v>
      </c>
      <c r="I138" s="561"/>
      <c r="J138" s="561"/>
    </row>
    <row r="139" spans="4:10">
      <c r="D139" s="153" t="str">
        <f>D41</f>
        <v>Despesas com a transferência do terreno</v>
      </c>
      <c r="E139" s="145">
        <f>Fluxo!J11</f>
        <v>0</v>
      </c>
      <c r="F139" s="146" t="e">
        <f t="shared" si="2"/>
        <v>#DIV/0!</v>
      </c>
      <c r="G139" s="79" t="s">
        <v>301</v>
      </c>
      <c r="H139" s="90"/>
      <c r="I139" s="8"/>
      <c r="J139" s="8"/>
    </row>
    <row r="140" spans="4:10">
      <c r="D140" s="153" t="str">
        <f>D37</f>
        <v>Valor da Outorga Onerosa</v>
      </c>
      <c r="E140" s="145">
        <f>E37*-1</f>
        <v>0</v>
      </c>
      <c r="F140" s="146" t="e">
        <f t="shared" si="2"/>
        <v>#DIV/0!</v>
      </c>
      <c r="G140" s="79" t="s">
        <v>301</v>
      </c>
      <c r="H140" s="8"/>
      <c r="I140" s="8"/>
      <c r="J140" s="8"/>
    </row>
    <row r="141" spans="4:10">
      <c r="D141" s="153" t="s">
        <v>474</v>
      </c>
      <c r="E141" s="145">
        <f>Fluxo!P11</f>
        <v>0</v>
      </c>
      <c r="F141" s="147" t="e">
        <f t="shared" si="2"/>
        <v>#DIV/0!</v>
      </c>
      <c r="G141" s="79" t="s">
        <v>301</v>
      </c>
      <c r="H141" s="90"/>
      <c r="I141" s="8"/>
      <c r="J141" s="8"/>
    </row>
    <row r="142" spans="4:10">
      <c r="D142" s="153" t="s">
        <v>440</v>
      </c>
      <c r="E142" s="145" t="e">
        <f>Fluxo!S11</f>
        <v>#DIV/0!</v>
      </c>
      <c r="F142" s="146" t="e">
        <f t="shared" si="2"/>
        <v>#DIV/0!</v>
      </c>
      <c r="G142" s="79" t="s">
        <v>301</v>
      </c>
      <c r="H142" s="90"/>
      <c r="I142" s="8"/>
      <c r="J142" s="8"/>
    </row>
    <row r="143" spans="4:10">
      <c r="D143" s="153" t="s">
        <v>272</v>
      </c>
      <c r="E143" s="145" t="e">
        <f>Fluxo!Q11</f>
        <v>#DIV/0!</v>
      </c>
      <c r="F143" s="146" t="e">
        <f t="shared" si="2"/>
        <v>#DIV/0!</v>
      </c>
      <c r="G143" s="79" t="s">
        <v>301</v>
      </c>
      <c r="H143" s="560" t="str">
        <f>IF(nufd&gt;=1,"Incluídos impostos sobre juros cobrados pós-chaves"," ")</f>
        <v xml:space="preserve"> </v>
      </c>
      <c r="I143" s="561"/>
      <c r="J143" s="561"/>
    </row>
    <row r="144" spans="4:10">
      <c r="D144" s="153" t="str">
        <f>D59</f>
        <v>Administração da Incorporação e da SPE</v>
      </c>
      <c r="E144" s="145">
        <f>Fluxo!R11</f>
        <v>0</v>
      </c>
      <c r="F144" s="146" t="e">
        <f t="shared" si="2"/>
        <v>#DIV/0!</v>
      </c>
      <c r="G144" s="79" t="s">
        <v>301</v>
      </c>
      <c r="H144" s="8"/>
      <c r="I144" s="8"/>
      <c r="J144" s="8"/>
    </row>
    <row r="145" spans="4:10">
      <c r="D145" s="153" t="str">
        <f t="shared" ref="D145:D147" si="3">D105</f>
        <v>Despesas Juridicas + Reg. da Incorporação</v>
      </c>
      <c r="E145" s="145">
        <f>Fluxo!K11</f>
        <v>0</v>
      </c>
      <c r="F145" s="146" t="e">
        <f t="shared" si="2"/>
        <v>#DIV/0!</v>
      </c>
      <c r="G145" s="79" t="s">
        <v>301</v>
      </c>
      <c r="H145" s="8"/>
      <c r="I145" s="8"/>
      <c r="J145" s="8"/>
    </row>
    <row r="146" spans="4:10">
      <c r="D146" s="153" t="str">
        <f t="shared" si="3"/>
        <v>Pesquisas e Estudos Preliminares</v>
      </c>
      <c r="E146" s="145">
        <f>Fluxo!L11</f>
        <v>0</v>
      </c>
      <c r="F146" s="146" t="e">
        <f t="shared" si="2"/>
        <v>#DIV/0!</v>
      </c>
      <c r="G146" s="79" t="s">
        <v>301</v>
      </c>
      <c r="H146" s="8"/>
      <c r="I146" s="8"/>
      <c r="J146" s="8"/>
    </row>
    <row r="147" spans="4:10">
      <c r="D147" s="153" t="str">
        <f t="shared" si="3"/>
        <v>Propaganda, Promoção e MKT</v>
      </c>
      <c r="E147" s="145">
        <f>Fluxo!M11</f>
        <v>0</v>
      </c>
      <c r="F147" s="146" t="e">
        <f t="shared" si="2"/>
        <v>#DIV/0!</v>
      </c>
      <c r="G147" s="79" t="s">
        <v>301</v>
      </c>
      <c r="H147" s="8"/>
      <c r="I147" s="8"/>
      <c r="J147" s="8"/>
    </row>
    <row r="148" spans="4:10">
      <c r="D148" s="153" t="str">
        <f>D120</f>
        <v>Total de juros do financ. para as obras</v>
      </c>
      <c r="E148" s="145" t="e">
        <f>tjfo</f>
        <v>#DIV/0!</v>
      </c>
      <c r="F148" s="146" t="e">
        <f t="shared" si="2"/>
        <v>#DIV/0!</v>
      </c>
      <c r="G148" s="79" t="s">
        <v>301</v>
      </c>
      <c r="H148" s="8"/>
      <c r="I148" s="8"/>
      <c r="J148" s="8"/>
    </row>
    <row r="149" spans="4:10">
      <c r="D149" s="154" t="str">
        <f>D113</f>
        <v>Taxa de Estruturação da Operação (TEO)</v>
      </c>
      <c r="E149" s="145" t="e">
        <f>-Fluxo!AU11</f>
        <v>#DIV/0!</v>
      </c>
      <c r="F149" s="146" t="e">
        <f t="shared" si="2"/>
        <v>#DIV/0!</v>
      </c>
      <c r="G149" s="79" t="s">
        <v>301</v>
      </c>
      <c r="H149" s="560" t="str">
        <f>IF(G111="IGP-M"," ","Valor da TEO deflacionada pelo delta entre o IGPM e a CMF")</f>
        <v>Valor da TEO deflacionada pelo delta entre o IGPM e a CMF</v>
      </c>
      <c r="I149" s="561"/>
      <c r="J149" s="561"/>
    </row>
    <row r="150" spans="4:10" ht="16" thickBot="1">
      <c r="E150" s="448" t="s">
        <v>357</v>
      </c>
    </row>
    <row r="151" spans="4:10" ht="16" thickBot="1">
      <c r="D151" s="571" t="s">
        <v>359</v>
      </c>
      <c r="E151" s="569" t="e">
        <f>E133+E137</f>
        <v>#DIV/0!</v>
      </c>
      <c r="F151" s="148" t="e">
        <f>E151/E133</f>
        <v>#DIV/0!</v>
      </c>
      <c r="G151" s="52" t="s">
        <v>104</v>
      </c>
      <c r="H151" s="51"/>
    </row>
    <row r="152" spans="4:10" ht="16" thickBot="1">
      <c r="D152" s="571"/>
      <c r="E152" s="570"/>
      <c r="F152" s="148" t="e">
        <f>E151/E137*-1</f>
        <v>#DIV/0!</v>
      </c>
      <c r="G152" s="52" t="s">
        <v>165</v>
      </c>
      <c r="H152" s="51"/>
    </row>
    <row r="153" spans="4:10">
      <c r="E153" s="56"/>
      <c r="F153" s="63"/>
      <c r="G153" s="56"/>
    </row>
    <row r="154" spans="4:10">
      <c r="D154" s="45" t="s">
        <v>52</v>
      </c>
      <c r="F154" s="63"/>
      <c r="G154" s="56"/>
    </row>
    <row r="155" spans="4:10">
      <c r="E155" s="448" t="s">
        <v>357</v>
      </c>
      <c r="F155" s="63"/>
      <c r="G155" s="457"/>
    </row>
    <row r="156" spans="4:10">
      <c r="D156" s="10" t="s">
        <v>325</v>
      </c>
      <c r="E156" s="149" t="e">
        <f>(G156+1)^12-1</f>
        <v>#VALUE!</v>
      </c>
      <c r="F156" s="64" t="s">
        <v>192</v>
      </c>
      <c r="G156" s="149" t="e">
        <f>tiram</f>
        <v>#VALUE!</v>
      </c>
      <c r="H156" s="16" t="s">
        <v>105</v>
      </c>
    </row>
    <row r="157" spans="4:10">
      <c r="D157" s="10" t="s">
        <v>540</v>
      </c>
      <c r="E157" s="149" t="e">
        <f>(G157+1)^12-1</f>
        <v>#VALUE!</v>
      </c>
      <c r="F157" s="64" t="s">
        <v>192</v>
      </c>
      <c r="G157" s="149" t="e">
        <f>tiram+igpm</f>
        <v>#VALUE!</v>
      </c>
      <c r="H157" s="16" t="s">
        <v>105</v>
      </c>
    </row>
    <row r="158" spans="4:10">
      <c r="D158" s="10" t="s">
        <v>371</v>
      </c>
      <c r="E158" s="149" t="e">
        <f>(G158+1)^12-1</f>
        <v>#VALUE!</v>
      </c>
      <c r="F158" s="64" t="s">
        <v>192</v>
      </c>
      <c r="G158" s="149" t="e">
        <f>tirram</f>
        <v>#VALUE!</v>
      </c>
      <c r="H158" s="16" t="s">
        <v>105</v>
      </c>
    </row>
    <row r="159" spans="4:10">
      <c r="D159" s="10" t="s">
        <v>539</v>
      </c>
      <c r="E159" s="149" t="e">
        <f>(G159+1)^12-1</f>
        <v>#VALUE!</v>
      </c>
      <c r="F159" s="64" t="s">
        <v>192</v>
      </c>
      <c r="G159" s="149" t="e">
        <f>tirram+igpm</f>
        <v>#VALUE!</v>
      </c>
      <c r="H159" s="16" t="s">
        <v>105</v>
      </c>
    </row>
    <row r="160" spans="4:10">
      <c r="D160" s="10" t="s">
        <v>383</v>
      </c>
      <c r="E160" s="150" t="e">
        <f>vplv/-vpld-1</f>
        <v>#DIV/0!</v>
      </c>
      <c r="F160" s="459" t="s">
        <v>492</v>
      </c>
      <c r="G160" s="460">
        <f>cop</f>
        <v>8.7345938235519061E-3</v>
      </c>
      <c r="H160" t="s">
        <v>494</v>
      </c>
    </row>
    <row r="161" spans="2:10">
      <c r="D161" s="10" t="s">
        <v>384</v>
      </c>
      <c r="E161" s="150" t="e">
        <f>-vplr/vpli-1</f>
        <v>#DIV/0!</v>
      </c>
      <c r="F161" s="459" t="s">
        <v>492</v>
      </c>
      <c r="G161" s="461">
        <f>G160</f>
        <v>8.7345938235519061E-3</v>
      </c>
      <c r="H161" t="s">
        <v>494</v>
      </c>
    </row>
    <row r="162" spans="2:10" ht="17">
      <c r="D162" s="10" t="s">
        <v>425</v>
      </c>
      <c r="E162" s="122" t="e">
        <f>ip</f>
        <v>#DIV/0!</v>
      </c>
      <c r="F162" s="459" t="s">
        <v>492</v>
      </c>
      <c r="G162" s="461">
        <f>cop</f>
        <v>8.7345938235519061E-3</v>
      </c>
      <c r="H162" t="s">
        <v>536</v>
      </c>
    </row>
    <row r="163" spans="2:10" ht="17">
      <c r="D163" s="62" t="s">
        <v>424</v>
      </c>
      <c r="E163" s="122" t="e">
        <f>inv</f>
        <v>#DIV/0!</v>
      </c>
      <c r="F163" s="334"/>
    </row>
    <row r="164" spans="2:10">
      <c r="D164" s="62" t="s">
        <v>439</v>
      </c>
      <c r="E164" s="122" t="e">
        <f>retornos*-1</f>
        <v>#DIV/0!</v>
      </c>
      <c r="F164" s="63"/>
      <c r="G164" s="448" t="s">
        <v>357</v>
      </c>
    </row>
    <row r="165" spans="2:10" ht="17">
      <c r="B165" s="575" t="s">
        <v>423</v>
      </c>
      <c r="C165" s="575"/>
      <c r="D165" s="576"/>
      <c r="E165" s="116" t="e">
        <f>(E164-E163)</f>
        <v>#DIV/0!</v>
      </c>
      <c r="F165" s="47" t="s">
        <v>361</v>
      </c>
      <c r="G165" s="339" t="e">
        <f>E165/E163</f>
        <v>#DIV/0!</v>
      </c>
      <c r="H165" s="16" t="s">
        <v>362</v>
      </c>
    </row>
    <row r="166" spans="2:10">
      <c r="D166" s="10" t="s">
        <v>153</v>
      </c>
      <c r="E166" s="151" t="e">
        <f>payback</f>
        <v>#DIV/0!</v>
      </c>
      <c r="F166" s="64" t="s">
        <v>155</v>
      </c>
      <c r="G166" s="152" t="e">
        <f>E166/12</f>
        <v>#DIV/0!</v>
      </c>
      <c r="H166" s="16" t="s">
        <v>154</v>
      </c>
    </row>
    <row r="168" spans="2:10" ht="15" customHeight="1">
      <c r="D168" s="10" t="s">
        <v>344</v>
      </c>
      <c r="E168" s="562"/>
      <c r="F168" s="562"/>
      <c r="G168" s="562"/>
      <c r="H168" s="562"/>
      <c r="I168" s="562"/>
      <c r="J168" s="46"/>
    </row>
    <row r="169" spans="2:10">
      <c r="E169" s="562"/>
      <c r="F169" s="562"/>
      <c r="G169" s="562"/>
      <c r="H169" s="562"/>
      <c r="I169" s="562"/>
      <c r="J169" s="46"/>
    </row>
    <row r="170" spans="2:10">
      <c r="E170" s="562"/>
      <c r="F170" s="562"/>
      <c r="G170" s="562"/>
      <c r="H170" s="562"/>
      <c r="I170" s="562"/>
      <c r="J170" s="46"/>
    </row>
    <row r="171" spans="2:10">
      <c r="E171" s="562"/>
      <c r="F171" s="562"/>
      <c r="G171" s="562"/>
      <c r="H171" s="562"/>
      <c r="I171" s="562"/>
      <c r="J171" s="46"/>
    </row>
  </sheetData>
  <sheetProtection password="C697" sheet="1" objects="1" scenarios="1"/>
  <mergeCells count="39">
    <mergeCell ref="G10:H10"/>
    <mergeCell ref="H143:J143"/>
    <mergeCell ref="H138:J138"/>
    <mergeCell ref="H149:J149"/>
    <mergeCell ref="E168:I171"/>
    <mergeCell ref="G104:H104"/>
    <mergeCell ref="E129:I129"/>
    <mergeCell ref="D126:E126"/>
    <mergeCell ref="E151:E152"/>
    <mergeCell ref="D151:D152"/>
    <mergeCell ref="E128:I128"/>
    <mergeCell ref="B165:D165"/>
    <mergeCell ref="B124:D124"/>
    <mergeCell ref="E101:J102"/>
    <mergeCell ref="F93:H93"/>
    <mergeCell ref="E91:G91"/>
    <mergeCell ref="E64:F64"/>
    <mergeCell ref="G64:H64"/>
    <mergeCell ref="G71:J72"/>
    <mergeCell ref="F45:I45"/>
    <mergeCell ref="G94:H94"/>
    <mergeCell ref="I94:J94"/>
    <mergeCell ref="E75:J77"/>
    <mergeCell ref="I90:J90"/>
    <mergeCell ref="F89:H89"/>
    <mergeCell ref="C8:D8"/>
    <mergeCell ref="C9:D9"/>
    <mergeCell ref="C7:D7"/>
    <mergeCell ref="B1:B5"/>
    <mergeCell ref="E4:I4"/>
    <mergeCell ref="E5:I5"/>
    <mergeCell ref="E7:I7"/>
    <mergeCell ref="G9:H9"/>
    <mergeCell ref="B24:D24"/>
    <mergeCell ref="B19:D19"/>
    <mergeCell ref="B20:D20"/>
    <mergeCell ref="B21:D21"/>
    <mergeCell ref="B22:D22"/>
    <mergeCell ref="B23:D23"/>
  </mergeCells>
  <phoneticPr fontId="21" type="noConversion"/>
  <conditionalFormatting sqref="G100">
    <cfRule type="cellIs" dxfId="10" priority="11" operator="lessThan">
      <formula>0</formula>
    </cfRule>
  </conditionalFormatting>
  <conditionalFormatting sqref="E101:J102">
    <cfRule type="expression" dxfId="9" priority="10">
      <formula>$G$100&lt;0</formula>
    </cfRule>
  </conditionalFormatting>
  <conditionalFormatting sqref="I99">
    <cfRule type="expression" dxfId="8" priority="9">
      <formula>$G$100&lt;0</formula>
    </cfRule>
  </conditionalFormatting>
  <conditionalFormatting sqref="H91:H92">
    <cfRule type="expression" dxfId="7" priority="8">
      <formula>$G$100&lt;0</formula>
    </cfRule>
  </conditionalFormatting>
  <conditionalFormatting sqref="F71">
    <cfRule type="expression" dxfId="6" priority="7">
      <formula>$F$71&gt;1</formula>
    </cfRule>
  </conditionalFormatting>
  <conditionalFormatting sqref="G71:J72">
    <cfRule type="expression" dxfId="5" priority="6">
      <formula>$F$71&gt;1</formula>
    </cfRule>
  </conditionalFormatting>
  <conditionalFormatting sqref="F89">
    <cfRule type="expression" dxfId="4" priority="4">
      <formula>$E$89&lt;0</formula>
    </cfRule>
  </conditionalFormatting>
  <conditionalFormatting sqref="F89">
    <cfRule type="expression" dxfId="3" priority="3">
      <formula>$E$89&gt;1</formula>
    </cfRule>
  </conditionalFormatting>
  <conditionalFormatting sqref="E89">
    <cfRule type="expression" dxfId="2" priority="2">
      <formula>$E$89&lt;0</formula>
    </cfRule>
  </conditionalFormatting>
  <conditionalFormatting sqref="E89">
    <cfRule type="expression" dxfId="1" priority="1">
      <formula>$E$89&gt;1</formula>
    </cfRule>
  </conditionalFormatting>
  <dataValidations count="4">
    <dataValidation type="whole" allowBlank="1" showInputMessage="1" showErrorMessage="1" sqref="I73:I74">
      <formula1>1</formula1>
      <formula2>420</formula2>
    </dataValidation>
    <dataValidation errorStyle="warning" operator="greaterThanOrEqual" allowBlank="1" showInputMessage="1" showErrorMessage="1" errorTitle="Erro" error="Número de unidades vendidas excedeu a quantidade total de unidades disponíveis para a venda (número total de unidades menor número de unidades permutadas) " sqref="G100"/>
    <dataValidation type="whole" operator="greaterThanOrEqual" allowBlank="1" showInputMessage="1" showErrorMessage="1" sqref="E82">
      <formula1>0</formula1>
    </dataValidation>
    <dataValidation type="decimal" allowBlank="1" showInputMessage="1" showErrorMessage="1" sqref="F66:F70 E122 G112 G44 G160">
      <formula1>0</formula1>
      <formula2>1</formula2>
    </dataValidation>
  </dataValidations>
  <hyperlinks>
    <hyperlink ref="E150" r:id="rId1"/>
    <hyperlink ref="E136" r:id="rId2"/>
    <hyperlink ref="E109" r:id="rId3"/>
    <hyperlink ref="E103" r:id="rId4"/>
    <hyperlink ref="E93" r:id="rId5"/>
    <hyperlink ref="E79" r:id="rId6"/>
    <hyperlink ref="E63" r:id="rId7"/>
    <hyperlink ref="E48" r:id="rId8"/>
    <hyperlink ref="E43" r:id="rId9"/>
    <hyperlink ref="E30" r:id="rId10"/>
    <hyperlink ref="E18" r:id="rId11"/>
    <hyperlink ref="G37" r:id="rId12"/>
    <hyperlink ref="G50" r:id="rId13"/>
    <hyperlink ref="G120" r:id="rId14"/>
    <hyperlink ref="E155" r:id="rId15"/>
    <hyperlink ref="G164" r:id="rId16"/>
    <hyperlink ref="E11" r:id="rId17"/>
    <hyperlink ref="I3" r:id="rId18"/>
    <hyperlink ref="E130" r:id="rId19"/>
  </hyperlinks>
  <pageMargins left="0.75000000000000011" right="0.75000000000000011" top="1" bottom="1" header="0.5" footer="0.5"/>
  <pageSetup paperSize="9" scale="64" fitToHeight="3" orientation="portrait" horizontalDpi="4294967292" verticalDpi="4294967292"/>
  <headerFooter>
    <oddFooter>&amp;R&amp;"Calibri,Regular"&amp;K000000Page &amp;P of &amp;N</oddFooter>
  </headerFooter>
  <rowBreaks count="2" manualBreakCount="2">
    <brk id="61" min="2" max="9" man="1"/>
    <brk id="124" max="16383" man="1"/>
  </rowBreaks>
  <legacyDrawing r:id="rId2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Aux!$A$20:$A$21</xm:f>
          </x14:formula1>
          <xm:sqref>E116</xm:sqref>
        </x14:dataValidation>
        <x14:dataValidation type="list" allowBlank="1" showInputMessage="1" showErrorMessage="1">
          <x14:formula1>
            <xm:f>Aux!$A$24:$A$26</xm:f>
          </x14:formula1>
          <xm:sqref>J45</xm:sqref>
        </x14:dataValidation>
        <x14:dataValidation type="list" allowBlank="1" showInputMessage="1" showErrorMessage="1">
          <x14:formula1>
            <xm:f>Aux!$A$53:$A$56</xm:f>
          </x14:formula1>
          <xm:sqref>G111</xm:sqref>
        </x14:dataValidation>
        <x14:dataValidation type="list" allowBlank="1" showInputMessage="1" showErrorMessage="1">
          <x14:formula1>
            <xm:f>Aux!$A$59:$A$65</xm:f>
          </x14:formula1>
          <xm:sqref>E114:E115</xm:sqref>
        </x14:dataValidation>
        <x14:dataValidation type="list" allowBlank="1" showInputMessage="1" showErrorMessage="1">
          <x14:formula1>
            <xm:f>Aux!A2:A17</xm:f>
          </x14:formula1>
          <xm:sqref>E81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BH501"/>
  <sheetViews>
    <sheetView showGridLines="0" topLeftCell="A4" zoomScale="150" zoomScaleNormal="150" zoomScalePageLayoutView="150" workbookViewId="0">
      <pane xSplit="8" ySplit="9" topLeftCell="I13" activePane="bottomRight" state="frozen"/>
      <selection activeCell="A4" sqref="A4"/>
      <selection pane="topRight" activeCell="I4" sqref="I4"/>
      <selection pane="bottomLeft" activeCell="A13" sqref="A13"/>
      <selection pane="bottomRight" activeCell="Q5" sqref="Q5"/>
    </sheetView>
  </sheetViews>
  <sheetFormatPr baseColWidth="10" defaultRowHeight="15" x14ac:dyDescent="0"/>
  <cols>
    <col min="1" max="1" width="3.5" style="172" customWidth="1"/>
    <col min="2" max="2" width="5" style="158" customWidth="1"/>
    <col min="3" max="3" width="7.6640625" style="156" customWidth="1"/>
    <col min="4" max="4" width="7.33203125" style="191" hidden="1" customWidth="1"/>
    <col min="5" max="5" width="10.83203125" style="172" customWidth="1"/>
    <col min="6" max="6" width="23.83203125" style="185" hidden="1" customWidth="1"/>
    <col min="7" max="7" width="23.1640625" style="185" hidden="1" customWidth="1"/>
    <col min="8" max="8" width="16.6640625" style="185" hidden="1" customWidth="1"/>
    <col min="9" max="9" width="13.6640625" style="271" bestFit="1" customWidth="1"/>
    <col min="10" max="10" width="11.5" style="272" hidden="1" customWidth="1"/>
    <col min="11" max="11" width="11.5" style="272" bestFit="1" customWidth="1"/>
    <col min="12" max="12" width="11.33203125" style="272" customWidth="1"/>
    <col min="13" max="13" width="12.6640625" style="272" customWidth="1"/>
    <col min="14" max="14" width="6.83203125" style="225" customWidth="1"/>
    <col min="15" max="15" width="0" style="273" hidden="1" customWidth="1"/>
    <col min="16" max="16" width="14.1640625" style="272" customWidth="1"/>
    <col min="17" max="17" width="12.6640625" style="272" customWidth="1"/>
    <col min="18" max="18" width="12.83203125" style="272" customWidth="1"/>
    <col min="19" max="19" width="13.1640625" style="272" customWidth="1"/>
    <col min="20" max="20" width="14.6640625" style="272" customWidth="1"/>
    <col min="21" max="21" width="10" style="177" customWidth="1"/>
    <col min="22" max="22" width="10.83203125" style="172" hidden="1" customWidth="1"/>
    <col min="23" max="23" width="11.83203125" style="272" customWidth="1"/>
    <col min="24" max="24" width="18.33203125" style="244" hidden="1" customWidth="1"/>
    <col min="25" max="25" width="18.1640625" style="244" hidden="1" customWidth="1"/>
    <col min="26" max="26" width="16.1640625" style="244" hidden="1" customWidth="1"/>
    <col min="27" max="27" width="15.83203125" style="244" hidden="1" customWidth="1"/>
    <col min="28" max="28" width="16.83203125" style="244" hidden="1" customWidth="1"/>
    <col min="29" max="29" width="14.33203125" style="244" hidden="1" customWidth="1"/>
    <col min="30" max="30" width="14" style="244" hidden="1" customWidth="1"/>
    <col min="31" max="31" width="13.33203125" style="272" customWidth="1"/>
    <col min="32" max="33" width="10.83203125" style="244" hidden="1" customWidth="1"/>
    <col min="34" max="34" width="11.83203125" style="272" customWidth="1"/>
    <col min="35" max="36" width="10.83203125" style="244" hidden="1" customWidth="1"/>
    <col min="37" max="38" width="11.83203125" style="272" customWidth="1"/>
    <col min="39" max="40" width="13.33203125" style="272" customWidth="1"/>
    <col min="41" max="41" width="14.1640625" style="244" hidden="1" customWidth="1"/>
    <col min="42" max="42" width="15.1640625" style="244" hidden="1" customWidth="1"/>
    <col min="43" max="47" width="13.1640625" style="244" hidden="1" customWidth="1"/>
    <col min="48" max="48" width="13.33203125" style="271" customWidth="1"/>
    <col min="49" max="49" width="14.5" style="244" hidden="1" customWidth="1"/>
    <col min="50" max="51" width="13.33203125" style="272" customWidth="1"/>
    <col min="52" max="52" width="13.5" style="244" hidden="1" customWidth="1"/>
    <col min="53" max="54" width="14.33203125" style="272" customWidth="1"/>
    <col min="55" max="55" width="0" style="172" hidden="1" customWidth="1"/>
    <col min="56" max="56" width="14.33203125" style="272" customWidth="1"/>
    <col min="57" max="57" width="14.5" style="244" hidden="1" customWidth="1"/>
    <col min="58" max="58" width="14.33203125" style="272" customWidth="1"/>
    <col min="59" max="59" width="20.6640625" style="244" hidden="1" customWidth="1"/>
    <col min="60" max="60" width="13.1640625" style="172" hidden="1" customWidth="1"/>
    <col min="61" max="16384" width="10.83203125" style="172"/>
  </cols>
  <sheetData>
    <row r="1" spans="2:60" ht="16" thickBot="1">
      <c r="BD1" s="293"/>
      <c r="BE1" s="169"/>
      <c r="BF1" s="296" t="s">
        <v>105</v>
      </c>
    </row>
    <row r="2" spans="2:60" ht="16" thickBot="1">
      <c r="B2" s="172"/>
      <c r="D2" s="157"/>
      <c r="E2" s="158"/>
      <c r="F2" s="159"/>
      <c r="G2" s="159"/>
      <c r="H2" s="159"/>
      <c r="I2" s="247"/>
      <c r="J2" s="248"/>
      <c r="K2" s="248"/>
      <c r="L2" s="248"/>
      <c r="M2" s="248"/>
      <c r="N2" s="162"/>
      <c r="O2" s="249"/>
      <c r="P2" s="248"/>
      <c r="Q2" s="248"/>
      <c r="R2" s="248"/>
      <c r="S2" s="248"/>
      <c r="T2" s="250"/>
      <c r="U2" s="164"/>
      <c r="V2" s="163"/>
      <c r="W2" s="274"/>
      <c r="X2" s="165"/>
      <c r="Y2" s="165"/>
      <c r="Z2" s="165"/>
      <c r="AA2" s="166"/>
      <c r="AB2" s="166"/>
      <c r="AC2" s="167"/>
      <c r="AD2" s="167"/>
      <c r="AE2" s="278"/>
      <c r="AF2" s="167"/>
      <c r="AG2" s="167"/>
      <c r="AH2" s="248"/>
      <c r="AI2" s="161"/>
      <c r="AJ2" s="161"/>
      <c r="AK2" s="248"/>
      <c r="AL2" s="248"/>
      <c r="AM2" s="248"/>
      <c r="AN2" s="248"/>
      <c r="AO2" s="161"/>
      <c r="AP2" s="161"/>
      <c r="AQ2" s="161"/>
      <c r="AR2" s="161"/>
      <c r="AS2" s="161"/>
      <c r="AT2" s="161"/>
      <c r="AU2" s="161"/>
      <c r="AV2" s="284"/>
      <c r="AW2" s="168"/>
      <c r="AX2" s="288"/>
      <c r="AY2" s="288"/>
      <c r="AZ2" s="168"/>
      <c r="BA2" s="293"/>
      <c r="BB2" s="293"/>
      <c r="BC2" s="170"/>
      <c r="BD2" s="298" t="s">
        <v>103</v>
      </c>
      <c r="BE2" s="175"/>
      <c r="BF2" s="300" t="e">
        <f>IRR(BA13:BA501,0.001)</f>
        <v>#VALUE!</v>
      </c>
      <c r="BG2" s="171" t="s">
        <v>7</v>
      </c>
    </row>
    <row r="3" spans="2:60" ht="16" thickBot="1">
      <c r="D3" s="157"/>
      <c r="E3" s="158"/>
      <c r="F3" s="159"/>
      <c r="G3" s="159"/>
      <c r="H3" s="159"/>
      <c r="I3" s="247"/>
      <c r="J3" s="248"/>
      <c r="K3" s="248"/>
      <c r="L3" s="248"/>
      <c r="M3" s="248"/>
      <c r="N3" s="162"/>
      <c r="O3" s="249"/>
      <c r="P3" s="248"/>
      <c r="Q3" s="248"/>
      <c r="R3" s="248"/>
      <c r="S3" s="248"/>
      <c r="T3" s="250"/>
      <c r="U3" s="164"/>
      <c r="V3" s="163"/>
      <c r="W3" s="274"/>
      <c r="X3" s="165"/>
      <c r="Y3" s="165"/>
      <c r="Z3" s="165"/>
      <c r="AA3" s="166"/>
      <c r="AB3" s="166"/>
      <c r="AC3" s="167"/>
      <c r="AD3" s="167"/>
      <c r="AE3" s="278"/>
      <c r="AF3" s="167"/>
      <c r="AG3" s="167"/>
      <c r="AH3" s="248"/>
      <c r="AI3" s="161"/>
      <c r="AJ3" s="161"/>
      <c r="AK3" s="248"/>
      <c r="AL3" s="248"/>
      <c r="AM3" s="248"/>
      <c r="AN3" s="248"/>
      <c r="AO3" s="161"/>
      <c r="AP3" s="161"/>
      <c r="AQ3" s="161"/>
      <c r="AR3" s="161"/>
      <c r="AS3" s="161"/>
      <c r="AT3" s="161"/>
      <c r="AU3" s="161"/>
      <c r="AV3" s="284"/>
      <c r="AW3" s="168"/>
      <c r="AX3" s="288"/>
      <c r="AY3" s="290"/>
      <c r="AZ3" s="173"/>
      <c r="BA3" s="290"/>
      <c r="BB3" s="296"/>
      <c r="BC3" s="174"/>
      <c r="BD3" s="299" t="s">
        <v>322</v>
      </c>
      <c r="BE3" s="175"/>
      <c r="BF3" s="301" t="e">
        <f>IRR(BG13:BG501,0.001)</f>
        <v>#VALUE!</v>
      </c>
      <c r="BG3" s="176" t="e">
        <f>(1+BF2)^12-1</f>
        <v>#VALUE!</v>
      </c>
    </row>
    <row r="4" spans="2:60">
      <c r="D4" s="157"/>
      <c r="E4" s="158"/>
      <c r="F4" s="159"/>
      <c r="G4" s="159"/>
      <c r="H4" s="159"/>
      <c r="I4" s="247"/>
      <c r="J4" s="248"/>
      <c r="K4" s="248"/>
      <c r="L4" s="248"/>
      <c r="M4" s="248"/>
      <c r="N4" s="162"/>
      <c r="O4" s="249"/>
      <c r="P4" s="248"/>
      <c r="Q4" s="248"/>
      <c r="R4" s="248"/>
      <c r="S4" s="248"/>
      <c r="T4" s="250"/>
      <c r="U4" s="164"/>
      <c r="V4" s="163"/>
      <c r="W4" s="274"/>
      <c r="X4" s="165"/>
      <c r="Y4" s="165"/>
      <c r="Z4" s="165"/>
      <c r="AA4" s="166"/>
      <c r="AB4" s="166"/>
      <c r="AC4" s="167"/>
      <c r="AD4" s="167"/>
      <c r="AE4" s="278"/>
      <c r="AF4" s="167"/>
      <c r="AG4" s="167"/>
      <c r="AH4" s="248"/>
      <c r="AI4" s="161"/>
      <c r="AJ4" s="161"/>
      <c r="AK4" s="248"/>
      <c r="AL4" s="248"/>
      <c r="AM4" s="248"/>
      <c r="AN4" s="248"/>
      <c r="AO4" s="161"/>
      <c r="AP4" s="161"/>
      <c r="AQ4" s="161"/>
      <c r="AR4" s="161"/>
      <c r="AS4" s="161"/>
      <c r="AT4" s="161"/>
      <c r="AU4" s="161"/>
      <c r="AV4" s="284"/>
      <c r="AW4" s="168"/>
      <c r="AX4" s="288"/>
      <c r="AY4" s="290"/>
      <c r="AZ4" s="173"/>
      <c r="BA4" s="290"/>
      <c r="BB4" s="296"/>
      <c r="BC4" s="174"/>
      <c r="BD4" s="320"/>
      <c r="BE4" s="321"/>
      <c r="BF4" s="322"/>
      <c r="BG4" s="319"/>
    </row>
    <row r="5" spans="2:60">
      <c r="B5" s="172"/>
      <c r="D5" s="157"/>
      <c r="E5" s="245" t="s">
        <v>355</v>
      </c>
      <c r="F5" s="159"/>
      <c r="G5" s="159"/>
      <c r="H5" s="159"/>
      <c r="I5" s="247"/>
      <c r="J5" s="248"/>
      <c r="K5" s="248"/>
      <c r="L5" s="248"/>
      <c r="M5" s="248"/>
      <c r="N5" s="172"/>
      <c r="O5" s="249"/>
      <c r="Q5" s="162">
        <f>Dados!E5</f>
        <v>0</v>
      </c>
      <c r="R5" s="248"/>
      <c r="S5" s="248"/>
      <c r="T5" s="458"/>
      <c r="V5" s="161"/>
      <c r="W5" s="248"/>
      <c r="X5" s="161"/>
      <c r="Y5" s="161"/>
      <c r="Z5" s="161"/>
      <c r="AA5" s="161"/>
      <c r="AB5" s="161"/>
      <c r="AC5" s="161"/>
      <c r="AD5" s="161"/>
      <c r="AF5" s="161"/>
      <c r="AG5" s="161"/>
      <c r="AH5" s="177">
        <f>Dados!E128</f>
        <v>0</v>
      </c>
      <c r="AI5" s="160"/>
      <c r="AJ5" s="160"/>
      <c r="AK5" s="248"/>
      <c r="AL5" s="248"/>
      <c r="AM5" s="248"/>
      <c r="AN5" s="248"/>
      <c r="AO5" s="584"/>
      <c r="AP5" s="584"/>
      <c r="AQ5" s="584"/>
      <c r="AR5" s="178"/>
      <c r="AS5" s="178"/>
      <c r="AT5" s="178"/>
      <c r="AU5" s="178"/>
      <c r="AV5" s="285"/>
      <c r="AW5" s="179"/>
      <c r="AX5" s="289"/>
      <c r="AY5" s="291"/>
      <c r="AZ5" s="181"/>
      <c r="BA5" s="581"/>
      <c r="BB5" s="581"/>
      <c r="BC5" s="174"/>
      <c r="BD5" s="317"/>
      <c r="BE5" s="317"/>
      <c r="BF5" s="580"/>
      <c r="BG5" s="580"/>
    </row>
    <row r="6" spans="2:60" ht="16" thickBot="1">
      <c r="D6" s="157"/>
      <c r="E6" s="158"/>
      <c r="F6" s="159"/>
      <c r="G6" s="159"/>
      <c r="H6" s="159"/>
      <c r="I6" s="247"/>
      <c r="J6" s="248"/>
      <c r="K6" s="248"/>
      <c r="L6" s="248"/>
      <c r="M6" s="248"/>
      <c r="N6" s="162"/>
      <c r="O6" s="249"/>
      <c r="P6" s="248"/>
      <c r="Q6" s="248"/>
      <c r="R6" s="248"/>
      <c r="S6" s="248"/>
      <c r="T6" s="248"/>
      <c r="V6" s="161"/>
      <c r="W6" s="248"/>
      <c r="X6" s="182">
        <f>336/84</f>
        <v>4</v>
      </c>
      <c r="Y6" s="161"/>
      <c r="Z6" s="161"/>
      <c r="AA6" s="161"/>
      <c r="AB6" s="161"/>
      <c r="AC6" s="161"/>
      <c r="AD6" s="161"/>
      <c r="AE6" s="248"/>
      <c r="AF6" s="161"/>
      <c r="AG6" s="161"/>
      <c r="AH6" s="247"/>
      <c r="AI6" s="160"/>
      <c r="AJ6" s="160"/>
      <c r="AK6" s="248"/>
      <c r="AL6" s="248"/>
      <c r="AM6" s="248"/>
      <c r="AN6" s="248"/>
      <c r="AO6" s="178"/>
      <c r="AP6" s="178"/>
      <c r="AQ6" s="178"/>
      <c r="AR6" s="178"/>
      <c r="AS6" s="178"/>
      <c r="AT6" s="178"/>
      <c r="AU6" s="178"/>
      <c r="AV6" s="285"/>
      <c r="AW6" s="179"/>
      <c r="AX6" s="289"/>
      <c r="AY6" s="291"/>
      <c r="AZ6" s="181"/>
      <c r="BA6" s="291"/>
      <c r="BB6" s="248"/>
      <c r="BC6" s="174"/>
      <c r="BD6" s="297"/>
      <c r="BE6" s="183"/>
      <c r="BF6" s="302"/>
      <c r="BG6" s="180"/>
    </row>
    <row r="7" spans="2:60" ht="16" thickBot="1">
      <c r="B7" s="172"/>
      <c r="H7" s="159"/>
      <c r="I7" s="454"/>
      <c r="J7" s="275"/>
      <c r="K7" s="603" t="s">
        <v>489</v>
      </c>
      <c r="L7" s="603"/>
      <c r="M7" s="603"/>
      <c r="N7" s="603"/>
      <c r="O7" s="603"/>
      <c r="P7" s="603"/>
      <c r="Q7" s="603"/>
      <c r="R7" s="603"/>
      <c r="S7" s="603"/>
      <c r="T7" s="282"/>
      <c r="U7" s="604" t="s">
        <v>490</v>
      </c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3"/>
      <c r="AM7" s="603"/>
      <c r="AN7" s="605"/>
      <c r="AO7" s="186" t="s">
        <v>106</v>
      </c>
      <c r="AP7" s="187" t="s">
        <v>107</v>
      </c>
      <c r="AQ7" s="187" t="s">
        <v>108</v>
      </c>
      <c r="AR7" s="188"/>
      <c r="AS7" s="188"/>
      <c r="AT7" s="188"/>
      <c r="AU7" s="189"/>
      <c r="AV7" s="585" t="s">
        <v>109</v>
      </c>
      <c r="AW7" s="586"/>
      <c r="AX7" s="586"/>
      <c r="AY7" s="586"/>
      <c r="AZ7" s="587"/>
      <c r="BA7" s="591" t="s">
        <v>479</v>
      </c>
      <c r="BB7" s="592"/>
      <c r="BC7" s="592"/>
      <c r="BD7" s="592"/>
      <c r="BE7" s="592"/>
      <c r="BF7" s="593"/>
      <c r="BG7" s="190"/>
    </row>
    <row r="8" spans="2:60" ht="16" thickBot="1">
      <c r="C8" s="428" t="s">
        <v>354</v>
      </c>
      <c r="D8" s="184"/>
      <c r="E8" s="318">
        <f>Dados!E8</f>
        <v>42679</v>
      </c>
      <c r="F8" s="192"/>
      <c r="G8" s="192"/>
      <c r="H8" s="193"/>
      <c r="I8" s="251" t="s">
        <v>11</v>
      </c>
      <c r="J8" s="252" t="s">
        <v>110</v>
      </c>
      <c r="K8" s="588" t="s">
        <v>111</v>
      </c>
      <c r="L8" s="589"/>
      <c r="M8" s="589"/>
      <c r="N8" s="588" t="s">
        <v>112</v>
      </c>
      <c r="O8" s="589"/>
      <c r="P8" s="590"/>
      <c r="Q8" s="253"/>
      <c r="R8" s="254"/>
      <c r="S8" s="253"/>
      <c r="T8" s="255" t="s">
        <v>113</v>
      </c>
      <c r="U8" s="310" t="s">
        <v>352</v>
      </c>
      <c r="V8" s="194"/>
      <c r="W8" s="276"/>
      <c r="X8" s="195"/>
      <c r="Y8" s="195"/>
      <c r="Z8" s="195"/>
      <c r="AA8" s="195"/>
      <c r="AB8" s="195"/>
      <c r="AC8" s="195"/>
      <c r="AD8" s="195"/>
      <c r="AE8" s="276"/>
      <c r="AF8" s="195"/>
      <c r="AG8" s="195"/>
      <c r="AH8" s="276"/>
      <c r="AI8" s="195"/>
      <c r="AJ8" s="195"/>
      <c r="AK8" s="276"/>
      <c r="AL8" s="276"/>
      <c r="AM8" s="280"/>
      <c r="AN8" s="283" t="s">
        <v>113</v>
      </c>
      <c r="AO8" s="196" t="s">
        <v>114</v>
      </c>
      <c r="AP8" s="197" t="s">
        <v>115</v>
      </c>
      <c r="AQ8" s="197" t="s">
        <v>116</v>
      </c>
      <c r="AR8" s="197"/>
      <c r="AS8" s="197"/>
      <c r="AT8" s="198"/>
      <c r="AU8" s="189"/>
      <c r="AV8" s="313" t="s">
        <v>319</v>
      </c>
      <c r="AW8" s="199" t="s">
        <v>117</v>
      </c>
      <c r="AX8" s="307" t="s">
        <v>305</v>
      </c>
      <c r="AY8" s="309" t="s">
        <v>118</v>
      </c>
      <c r="AZ8" s="189" t="s">
        <v>117</v>
      </c>
      <c r="BA8" s="294" t="s">
        <v>106</v>
      </c>
      <c r="BB8" s="258" t="s">
        <v>107</v>
      </c>
      <c r="BC8" s="200"/>
      <c r="BD8" s="307" t="s">
        <v>339</v>
      </c>
      <c r="BE8" s="308" t="s">
        <v>107</v>
      </c>
      <c r="BF8" s="309" t="s">
        <v>183</v>
      </c>
      <c r="BG8" s="190"/>
    </row>
    <row r="9" spans="2:60">
      <c r="B9" s="601" t="s">
        <v>445</v>
      </c>
      <c r="C9" s="601"/>
      <c r="D9" s="184"/>
      <c r="E9" s="158"/>
      <c r="G9" s="201"/>
      <c r="H9" s="202"/>
      <c r="I9" s="256" t="s">
        <v>323</v>
      </c>
      <c r="J9" s="257" t="s">
        <v>190</v>
      </c>
      <c r="K9" s="258" t="s">
        <v>191</v>
      </c>
      <c r="L9" s="258" t="s">
        <v>119</v>
      </c>
      <c r="M9" s="258" t="s">
        <v>350</v>
      </c>
      <c r="N9" s="203" t="s">
        <v>120</v>
      </c>
      <c r="O9" s="259" t="s">
        <v>318</v>
      </c>
      <c r="P9" s="260" t="s">
        <v>121</v>
      </c>
      <c r="Q9" s="221" t="s">
        <v>345</v>
      </c>
      <c r="R9" s="221" t="s">
        <v>346</v>
      </c>
      <c r="S9" s="260" t="s">
        <v>348</v>
      </c>
      <c r="T9" s="261" t="s">
        <v>188</v>
      </c>
      <c r="U9" s="311" t="s">
        <v>353</v>
      </c>
      <c r="V9" s="205" t="s">
        <v>281</v>
      </c>
      <c r="W9" s="221" t="s">
        <v>122</v>
      </c>
      <c r="X9" s="206" t="s">
        <v>295</v>
      </c>
      <c r="Y9" s="594" t="s">
        <v>293</v>
      </c>
      <c r="Z9" s="595"/>
      <c r="AA9" s="599" t="s">
        <v>294</v>
      </c>
      <c r="AB9" s="600"/>
      <c r="AC9" s="197" t="s">
        <v>123</v>
      </c>
      <c r="AD9" s="197" t="s">
        <v>123</v>
      </c>
      <c r="AE9" s="221" t="s">
        <v>124</v>
      </c>
      <c r="AF9" s="197" t="s">
        <v>283</v>
      </c>
      <c r="AG9" s="205" t="s">
        <v>285</v>
      </c>
      <c r="AH9" s="221" t="s">
        <v>125</v>
      </c>
      <c r="AI9" s="197" t="s">
        <v>182</v>
      </c>
      <c r="AJ9" s="205" t="s">
        <v>280</v>
      </c>
      <c r="AK9" s="221" t="s">
        <v>126</v>
      </c>
      <c r="AL9" s="221" t="s">
        <v>127</v>
      </c>
      <c r="AM9" s="260" t="s">
        <v>298</v>
      </c>
      <c r="AN9" s="261" t="s">
        <v>189</v>
      </c>
      <c r="AO9" s="196" t="s">
        <v>128</v>
      </c>
      <c r="AP9" s="197" t="s">
        <v>129</v>
      </c>
      <c r="AQ9" s="197" t="s">
        <v>130</v>
      </c>
      <c r="AR9" s="197" t="s">
        <v>314</v>
      </c>
      <c r="AS9" s="197" t="s">
        <v>314</v>
      </c>
      <c r="AT9" s="198" t="s">
        <v>316</v>
      </c>
      <c r="AU9" s="189"/>
      <c r="AV9" s="314" t="s">
        <v>327</v>
      </c>
      <c r="AW9" s="198" t="s">
        <v>131</v>
      </c>
      <c r="AX9" s="315" t="s">
        <v>306</v>
      </c>
      <c r="AY9" s="316" t="s">
        <v>132</v>
      </c>
      <c r="AZ9" s="189" t="s">
        <v>133</v>
      </c>
      <c r="BA9" s="295" t="s">
        <v>114</v>
      </c>
      <c r="BB9" s="221" t="s">
        <v>134</v>
      </c>
      <c r="BC9" s="207" t="s">
        <v>180</v>
      </c>
      <c r="BD9" s="261" t="s">
        <v>186</v>
      </c>
      <c r="BE9" s="189" t="s">
        <v>135</v>
      </c>
      <c r="BF9" s="261" t="s">
        <v>187</v>
      </c>
      <c r="BG9" s="180"/>
    </row>
    <row r="10" spans="2:60" ht="16" thickBot="1">
      <c r="B10" s="602" t="s">
        <v>357</v>
      </c>
      <c r="C10" s="602"/>
      <c r="D10" s="157"/>
      <c r="E10" s="158"/>
      <c r="F10" s="159"/>
      <c r="G10" s="159"/>
      <c r="H10" s="159"/>
      <c r="I10" s="256" t="s">
        <v>324</v>
      </c>
      <c r="J10" s="257" t="s">
        <v>11</v>
      </c>
      <c r="K10" s="221" t="s">
        <v>136</v>
      </c>
      <c r="L10" s="221" t="s">
        <v>130</v>
      </c>
      <c r="M10" s="221" t="s">
        <v>351</v>
      </c>
      <c r="N10" s="203" t="s">
        <v>137</v>
      </c>
      <c r="O10" s="262" t="s">
        <v>281</v>
      </c>
      <c r="P10" s="260" t="s">
        <v>138</v>
      </c>
      <c r="Q10" s="455" t="s">
        <v>360</v>
      </c>
      <c r="R10" s="221" t="s">
        <v>347</v>
      </c>
      <c r="S10" s="260" t="s">
        <v>349</v>
      </c>
      <c r="T10" s="263" t="e">
        <f>NPV(Dados!$G$160,T13:T501)</f>
        <v>#DIV/0!</v>
      </c>
      <c r="U10" s="312" t="s">
        <v>326</v>
      </c>
      <c r="V10" s="205"/>
      <c r="W10" s="221"/>
      <c r="X10" s="596" t="s">
        <v>296</v>
      </c>
      <c r="Y10" s="597"/>
      <c r="Z10" s="597"/>
      <c r="AA10" s="597"/>
      <c r="AB10" s="598"/>
      <c r="AC10" s="197" t="s">
        <v>139</v>
      </c>
      <c r="AD10" s="197" t="s">
        <v>140</v>
      </c>
      <c r="AE10" s="455" t="s">
        <v>360</v>
      </c>
      <c r="AF10" s="204" t="s">
        <v>284</v>
      </c>
      <c r="AG10" s="204" t="s">
        <v>279</v>
      </c>
      <c r="AH10" s="221" t="s">
        <v>141</v>
      </c>
      <c r="AI10" s="204"/>
      <c r="AJ10" s="204" t="s">
        <v>279</v>
      </c>
      <c r="AK10" s="221" t="s">
        <v>142</v>
      </c>
      <c r="AL10" s="221" t="s">
        <v>143</v>
      </c>
      <c r="AM10" s="455" t="s">
        <v>360</v>
      </c>
      <c r="AN10" s="263" t="e">
        <f>NPV(Dados!$G$160,AN13:AN501)</f>
        <v>#DIV/0!</v>
      </c>
      <c r="AO10" s="196" t="s">
        <v>137</v>
      </c>
      <c r="AP10" s="197" t="s">
        <v>144</v>
      </c>
      <c r="AQ10" s="197" t="s">
        <v>145</v>
      </c>
      <c r="AR10" s="197" t="s">
        <v>312</v>
      </c>
      <c r="AS10" s="197" t="s">
        <v>313</v>
      </c>
      <c r="AT10" s="198" t="s">
        <v>317</v>
      </c>
      <c r="AU10" s="208" t="s">
        <v>340</v>
      </c>
      <c r="AV10" s="314" t="s">
        <v>320</v>
      </c>
      <c r="AW10" s="198" t="s">
        <v>118</v>
      </c>
      <c r="AX10" s="315" t="s">
        <v>307</v>
      </c>
      <c r="AY10" s="316" t="s">
        <v>146</v>
      </c>
      <c r="AZ10" s="189" t="s">
        <v>118</v>
      </c>
      <c r="BA10" s="295" t="s">
        <v>138</v>
      </c>
      <c r="BB10" s="336" t="s">
        <v>144</v>
      </c>
      <c r="BC10" s="207"/>
      <c r="BD10" s="263" t="e">
        <f>NPV(Dados!$G$160,BD13:BD501)</f>
        <v>#DIV/0!</v>
      </c>
      <c r="BE10" s="189" t="s">
        <v>147</v>
      </c>
      <c r="BF10" s="263" t="e">
        <f>NPV(Dados!$G$160,BF13:BF501)</f>
        <v>#DIV/0!</v>
      </c>
      <c r="BG10" s="180"/>
    </row>
    <row r="11" spans="2:60" ht="16" thickBot="1">
      <c r="C11" s="209"/>
      <c r="D11" s="210"/>
      <c r="E11" s="211" t="s">
        <v>148</v>
      </c>
      <c r="F11" s="212"/>
      <c r="G11" s="213">
        <f t="shared" ref="G11:M11" si="0">SUM(G13:G501)</f>
        <v>0</v>
      </c>
      <c r="H11" s="213">
        <f t="shared" si="0"/>
        <v>0</v>
      </c>
      <c r="I11" s="264">
        <f t="shared" si="0"/>
        <v>0</v>
      </c>
      <c r="J11" s="264">
        <f t="shared" si="0"/>
        <v>0</v>
      </c>
      <c r="K11" s="264">
        <f t="shared" si="0"/>
        <v>0</v>
      </c>
      <c r="L11" s="264">
        <f t="shared" si="0"/>
        <v>0</v>
      </c>
      <c r="M11" s="264">
        <f t="shared" si="0"/>
        <v>0</v>
      </c>
      <c r="N11" s="214"/>
      <c r="O11" s="265"/>
      <c r="P11" s="264">
        <f t="shared" ref="P11:U11" si="1">SUM(P13:P501)</f>
        <v>0</v>
      </c>
      <c r="Q11" s="264" t="e">
        <f t="shared" si="1"/>
        <v>#DIV/0!</v>
      </c>
      <c r="R11" s="264">
        <f t="shared" si="1"/>
        <v>0</v>
      </c>
      <c r="S11" s="264" t="e">
        <f t="shared" si="1"/>
        <v>#DIV/0!</v>
      </c>
      <c r="T11" s="264" t="e">
        <f t="shared" si="1"/>
        <v>#DIV/0!</v>
      </c>
      <c r="U11" s="215" t="e">
        <f t="shared" si="1"/>
        <v>#DIV/0!</v>
      </c>
      <c r="V11" s="213"/>
      <c r="W11" s="264" t="e">
        <f>SUM(W13:W501)</f>
        <v>#DIV/0!</v>
      </c>
      <c r="X11" s="213" t="e">
        <f>SUM(X13:X501)</f>
        <v>#DIV/0!</v>
      </c>
      <c r="Y11" s="213"/>
      <c r="Z11" s="213" t="e">
        <f>SUM(Z13:Z501)</f>
        <v>#DIV/0!</v>
      </c>
      <c r="AA11" s="213"/>
      <c r="AB11" s="213" t="e">
        <f>SUM(AB13:AB501)</f>
        <v>#DIV/0!</v>
      </c>
      <c r="AC11" s="213" t="e">
        <f>SUM(AC13:AC501)</f>
        <v>#DIV/0!</v>
      </c>
      <c r="AD11" s="213">
        <f>SUM(AD13:AD401)</f>
        <v>0</v>
      </c>
      <c r="AE11" s="264" t="e">
        <f>SUM(AE13:AE501)</f>
        <v>#DIV/0!</v>
      </c>
      <c r="AF11" s="213"/>
      <c r="AG11" s="213"/>
      <c r="AH11" s="264" t="e">
        <f>SUM(AH13:AH501)</f>
        <v>#DIV/0!</v>
      </c>
      <c r="AI11" s="213"/>
      <c r="AJ11" s="213"/>
      <c r="AK11" s="264" t="e">
        <f>SUM(AK13:AK501)</f>
        <v>#DIV/0!</v>
      </c>
      <c r="AL11" s="264" t="e">
        <f>SUM(AL13:AL501)</f>
        <v>#DIV/0!</v>
      </c>
      <c r="AM11" s="264" t="e">
        <f>SUM(AM13:AM501)</f>
        <v>#DIV/0!</v>
      </c>
      <c r="AN11" s="264" t="e">
        <f>SUM(AN13:AN501)</f>
        <v>#DIV/0!</v>
      </c>
      <c r="AO11" s="213" t="e">
        <f>SUM(AO13:AO501)</f>
        <v>#DIV/0!</v>
      </c>
      <c r="AP11" s="213"/>
      <c r="AQ11" s="213" t="e">
        <f>SUM(AQ13:AQ501)</f>
        <v>#DIV/0!</v>
      </c>
      <c r="AR11" s="213">
        <f>SUM(AR13:AR501)</f>
        <v>23</v>
      </c>
      <c r="AS11" s="213" t="e">
        <f>SUM(AS13:AS501)</f>
        <v>#DIV/0!</v>
      </c>
      <c r="AT11" s="213"/>
      <c r="AU11" s="213" t="e">
        <f>SUM(AU13:AU501)</f>
        <v>#DIV/0!</v>
      </c>
      <c r="AV11" s="264" t="e">
        <f>SUM(AV13:AV501)</f>
        <v>#DIV/0!</v>
      </c>
      <c r="AW11" s="213" t="e">
        <f>SUM(AW13:AW501)</f>
        <v>#DIV/0!</v>
      </c>
      <c r="AX11" s="264" t="e">
        <f>SUM(AX13:AX501)</f>
        <v>#DIV/0!</v>
      </c>
      <c r="AY11" s="264" t="e">
        <f>SUM(AY13:AY501)</f>
        <v>#DIV/0!</v>
      </c>
      <c r="AZ11" s="213"/>
      <c r="BA11" s="423" t="s">
        <v>360</v>
      </c>
      <c r="BB11" s="337"/>
      <c r="BC11" s="213" t="e">
        <f>SUM(BC13:BC501)</f>
        <v>#DIV/0!</v>
      </c>
      <c r="BD11" s="264" t="e">
        <f>SUM(BD13:BD501)</f>
        <v>#DIV/0!</v>
      </c>
      <c r="BE11" s="213"/>
      <c r="BF11" s="303" t="e">
        <f>SUM(BF13:BF501)</f>
        <v>#DIV/0!</v>
      </c>
      <c r="BG11" s="216" t="s">
        <v>184</v>
      </c>
    </row>
    <row r="12" spans="2:60">
      <c r="B12" s="582" t="s">
        <v>149</v>
      </c>
      <c r="C12" s="583"/>
      <c r="D12" s="217" t="s">
        <v>150</v>
      </c>
      <c r="E12" s="218" t="s">
        <v>151</v>
      </c>
      <c r="F12" s="219" t="s">
        <v>181</v>
      </c>
      <c r="G12" s="219" t="s">
        <v>241</v>
      </c>
      <c r="H12" s="219" t="s">
        <v>240</v>
      </c>
      <c r="I12" s="266">
        <v>0</v>
      </c>
      <c r="J12" s="266"/>
      <c r="K12" s="266">
        <v>0</v>
      </c>
      <c r="L12" s="266">
        <v>0</v>
      </c>
      <c r="M12" s="266">
        <v>0</v>
      </c>
      <c r="N12" s="220">
        <v>0</v>
      </c>
      <c r="O12" s="267"/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21">
        <v>0</v>
      </c>
      <c r="V12" s="222"/>
      <c r="W12" s="277">
        <v>0</v>
      </c>
      <c r="X12" s="223" t="e">
        <f>X11+AC11-vgv*mdo</f>
        <v>#DIV/0!</v>
      </c>
      <c r="Y12" s="222">
        <v>0</v>
      </c>
      <c r="Z12" s="223" t="e">
        <f>Z11+AH11-vgv*sem</f>
        <v>#DIV/0!</v>
      </c>
      <c r="AA12" s="222">
        <v>0</v>
      </c>
      <c r="AB12" s="223" t="e">
        <f>AB11+AK11-anu*vgv</f>
        <v>#DIV/0!</v>
      </c>
      <c r="AC12" s="224">
        <f>mdo</f>
        <v>0</v>
      </c>
      <c r="AD12" s="222"/>
      <c r="AE12" s="277">
        <v>0</v>
      </c>
      <c r="AF12" s="222"/>
      <c r="AG12" s="222"/>
      <c r="AH12" s="277">
        <v>0</v>
      </c>
      <c r="AI12" s="222"/>
      <c r="AJ12" s="222"/>
      <c r="AK12" s="277">
        <v>0</v>
      </c>
      <c r="AL12" s="306">
        <v>0</v>
      </c>
      <c r="AM12" s="306">
        <v>0</v>
      </c>
      <c r="AN12" s="277">
        <v>0</v>
      </c>
      <c r="AO12" s="222"/>
      <c r="AP12" s="222"/>
      <c r="AQ12" s="222">
        <v>0</v>
      </c>
      <c r="AR12" s="222"/>
      <c r="AS12" s="222"/>
      <c r="AT12" s="225" t="e">
        <f>IF(MAX(mmo,mmv)=mmo,IF(B12=AR12,(SUM(N11:$N$13)-pmo)/((1-VLOOKUP(MAX(mmo,mmv)-1,$B$13:$O$501,14))+(VLOOKUP(MAX(mmo,mmv)-1,$B$13:$O$501,14)-pmo)),N11/((1-VLOOKUP(MAX(mmo,mmv)-1,$B$13:$O$501,14)+(VLOOKUP(MAX(mmo,mmv)-1,$B$13:$O$501,14)-pmo)))),N11/(1-VLOOKUP(MAX(mmo,mmv)-2,$B$13:$O$501,14)))</f>
        <v>#DIV/0!</v>
      </c>
      <c r="AU12" s="225"/>
      <c r="AV12" s="286">
        <v>0</v>
      </c>
      <c r="AW12" s="222">
        <v>0</v>
      </c>
      <c r="AX12" s="277">
        <v>0</v>
      </c>
      <c r="AY12" s="277">
        <v>0</v>
      </c>
      <c r="AZ12" s="222">
        <v>0</v>
      </c>
      <c r="BA12" s="277">
        <v>0</v>
      </c>
      <c r="BB12" s="277">
        <v>0</v>
      </c>
      <c r="BC12" s="226">
        <v>0</v>
      </c>
      <c r="BD12" s="277">
        <v>0</v>
      </c>
      <c r="BE12" s="222">
        <v>0</v>
      </c>
      <c r="BF12" s="304">
        <v>0</v>
      </c>
      <c r="BG12" s="227" t="s">
        <v>152</v>
      </c>
    </row>
    <row r="13" spans="2:60">
      <c r="B13" s="120">
        <v>0</v>
      </c>
      <c r="C13" s="228">
        <f>mbase</f>
        <v>42679</v>
      </c>
      <c r="D13" s="229">
        <f>MONTH(C13)</f>
        <v>11</v>
      </c>
      <c r="E13" s="422" t="s">
        <v>360</v>
      </c>
      <c r="F13" s="231">
        <f t="shared" ref="F13:F23" si="2">IF(B13=mpo, voo,0)</f>
        <v>0</v>
      </c>
      <c r="G13" s="231">
        <f t="shared" ref="G13:G23" si="3">IF(B13&gt;(mpt+npt),0,IF(B13&lt;(mpt+npt+1),IF(B13&gt;mpt,(vtd-vst)/npt/(igpm+1)^B13,IF(B13=mpt,vst/(igpm+1)^B13,0))))</f>
        <v>0</v>
      </c>
      <c r="H13" s="231">
        <f t="shared" ref="H13:H23" si="4">IF(B13&gt;(mpt+npt),0,IF(B13&lt;(mpt+npt+1),IF(B13&gt;mpt,(vtd-vst)/npt/(delta+1)^B13,IF(B13=mpt,vst/(delta+1)^B13,0))))</f>
        <v>0</v>
      </c>
      <c r="I13" s="268">
        <f t="shared" ref="I13:I76" si="5">IF(cmt="SC",G13,IF(cmt="INCC",H13,IF(B13&gt;(mpt+npt),0,IF(B13&lt;(mpt+npt+1),IF(B13&gt;mpt,(vtd-vst)/npt,IF(B13=mpt,vst,0))))))*-1-F13+J13</f>
        <v>0</v>
      </c>
      <c r="J13" s="269">
        <f t="shared" ref="J13:J23" si="6">IF(B13=mpdt,dtt,0)*-1</f>
        <v>0</v>
      </c>
      <c r="K13" s="269">
        <f>IF($B13&gt;mdji+npdji,0,IF($B13&lt;mdji+npdji,IF($B13&gt;=mdji,dji*vgv/npdji,0),0))*-1</f>
        <v>0</v>
      </c>
      <c r="L13" s="269">
        <f t="shared" ref="L13:L76" si="7">IF($B13&gt;mppe+npppe,0,IF($B13&lt;mppe+npppe,IF($B13&gt;=mppe,ppe*vgv/npppe,0),0))*-1</f>
        <v>0</v>
      </c>
      <c r="M13" s="269">
        <f t="shared" ref="M13:M76" si="8">IF($B13&gt;mppm+npppm,0,IF($B13&lt;mppm+npppm,IF($B13&gt;=mppm,ppm*vgv/npppm,0),0))*-1</f>
        <v>0</v>
      </c>
      <c r="N13" s="233">
        <f>VLOOKUP(B13,Dados!$L$86:$P$90,5)</f>
        <v>0</v>
      </c>
      <c r="O13" s="270">
        <f>N13+O12</f>
        <v>0</v>
      </c>
      <c r="P13" s="269">
        <f t="shared" ref="P13:P23" si="9">N13*cto*-1</f>
        <v>0</v>
      </c>
      <c r="Q13" s="269" t="e">
        <f t="shared" ref="Q13:Q23" si="10">AN13*pimp*-1</f>
        <v>#DIV/0!</v>
      </c>
      <c r="R13" s="269">
        <f t="shared" ref="R13:R23" si="11">IF(B13&gt;=1,IF(B13&lt;=(mec+6),padm*vgv/(mec+6),0),0)*-1</f>
        <v>0</v>
      </c>
      <c r="S13" s="269" t="e">
        <f t="shared" ref="S13:S23" si="12">U13*vvm*pcorr*-1</f>
        <v>#DIV/0!</v>
      </c>
      <c r="T13" s="269" t="e">
        <f>S13+P13+M13+L13+K13+I13+R13+Q13</f>
        <v>#DIV/0!</v>
      </c>
      <c r="U13" s="234">
        <f t="shared" ref="U13:U23" si="13">VLOOKUP(B13,tabvv,4)</f>
        <v>0</v>
      </c>
      <c r="V13" s="232">
        <f>U13</f>
        <v>0</v>
      </c>
      <c r="W13" s="269" t="e">
        <f>U13*vvm*sinal+X13+Z13+AB13</f>
        <v>#DIV/0!</v>
      </c>
      <c r="X13" s="235">
        <f t="shared" ref="X13:X76" si="14">IF(B13-mlan&lt;0,0,IF(U13=0,0,IF(B13-mlan&gt;npm,vtpm*U13,(B13-mlan)*vvm*mdo/npm*U13)))</f>
        <v>0</v>
      </c>
      <c r="Y13" s="236">
        <f t="shared" ref="Y13:Y23" si="15">IF($B13&gt;mlan+5,IF($B13&lt;=mco,Y12+$AF12,+Y12),0)</f>
        <v>0</v>
      </c>
      <c r="Z13" s="236" t="e">
        <f t="shared" ref="Z13:Z23" si="16">Y13*vvm*sem*U13/npse</f>
        <v>#DIV/0!</v>
      </c>
      <c r="AA13" s="236">
        <f t="shared" ref="AA13:AA23" si="17">IF($B13&gt;mlan+5,IF($B13&lt;=mco,AA12+$AI12,+AA12),0)</f>
        <v>0</v>
      </c>
      <c r="AB13" s="236" t="e">
        <f t="shared" ref="AB13:AB23" si="18">AA13*vvm*anu*U13/npa</f>
        <v>#DIV/0!</v>
      </c>
      <c r="AC13" s="235" t="e">
        <f t="shared" ref="AC13:AC23" si="19">IF(B13&gt;=mec,0,V12*mdo*vvm/npm)</f>
        <v>#DIV/0!</v>
      </c>
      <c r="AD13" s="235">
        <f t="shared" ref="AD13:AD23" si="20">IF(B13&gt;mec,IF(B13&lt;=mec+npfd,pmtfd*nufd,0),0)</f>
        <v>0</v>
      </c>
      <c r="AE13" s="279" t="e">
        <f>AD13+AC13</f>
        <v>#DIV/0!</v>
      </c>
      <c r="AF13" s="232">
        <f t="shared" ref="AF13:AF23" si="21">IF(D13=6,1,IF(D13=12,1,0))</f>
        <v>0</v>
      </c>
      <c r="AG13" s="235">
        <f t="shared" ref="AG13:AG23" si="22">IF($B13&gt;mlan+5,IF($B13&lt;=mco,$AG12+$AF13,0),0)</f>
        <v>0</v>
      </c>
      <c r="AH13" s="269">
        <f t="shared" ref="AH13:AH23" si="23">IF(B13&gt;=mlan+5,IF(B13&lt;=mco,V13*vvm*sem*AF13/npse,0),0)</f>
        <v>0</v>
      </c>
      <c r="AI13" s="232">
        <f t="shared" ref="AI13:AI23" si="24">IF(D13=12,1,0)</f>
        <v>0</v>
      </c>
      <c r="AJ13" s="235">
        <f t="shared" ref="AJ13:AJ23" si="25">IF(B12&gt;=mlan+5,IF(B12&lt;mco,AJ12+AI13,0),0)</f>
        <v>0</v>
      </c>
      <c r="AK13" s="269">
        <f t="shared" ref="AK13:AK23" si="26">IF(B13&lt;=mco,IF(B13&gt;=mlan+5,V13*vvm*anu/npa*AI13,0),0)</f>
        <v>0</v>
      </c>
      <c r="AL13" s="269">
        <f t="shared" ref="AL13:AL76" si="27">IF(B13=mec,cha*ntudv*vvm,0)</f>
        <v>0</v>
      </c>
      <c r="AM13" s="281">
        <f>IF(B13&gt;=mpfo,pos*vvm*Dados!$E$122*(ntudv-SUM(U14:$U$301))-SUM($AM12:AM$13),0)</f>
        <v>0</v>
      </c>
      <c r="AN13" s="269" t="e">
        <f>AL13+AK13+AH13+AE13+W13+AM13</f>
        <v>#DIV/0!</v>
      </c>
      <c r="AO13" s="232" t="e">
        <f t="shared" ref="AO13:AO23" si="28">AN13+T13</f>
        <v>#DIV/0!</v>
      </c>
      <c r="AP13" s="232" t="e">
        <f>AO13</f>
        <v>#DIV/0!</v>
      </c>
      <c r="AQ13" s="235" t="e">
        <f>IF(AP13+SUM($AQ$12:AQ12)&gt;=0,0,-AP13-SUM($AQ$12:AQ12))</f>
        <v>#DIV/0!</v>
      </c>
      <c r="AR13" s="235">
        <f>IF(SUM($N12:N$13)&gt;=pmo,IF(SUM(N12:$N$501)&gt;(1-pmo),B13,0),0)</f>
        <v>0</v>
      </c>
      <c r="AS13" s="235" t="e">
        <f>IF((SUM($U12:$U$13)/ntudv)&gt;=pmv,IF((SUM($U12:$U$501)/ntudv)&gt;(1-pmv),B13,0),0)</f>
        <v>#DIV/0!</v>
      </c>
      <c r="AT13" s="237" t="e">
        <f>IF(MAX(mmo,mmv)=mmo,IF(B13=AR13,(SUM(N12:$N$13)-pmo)/((1-VLOOKUP(MAX(mmo,mmv)-1,$B$13:$O$501,14))+(VLOOKUP(MAX(mmo,mmv)-1,$B$13:$O$501,14)-pmo)),N12/((1-VLOOKUP(MAX(mmo,mmv)-1,$B$13:$O$501,14)+(VLOOKUP(MAX(mmo,mmv)-1,$B$13:$O$501,14)-pmo)))),N12/(1-VLOOKUP(MAX(mmo,mmv)-2,$B$13:$O$501,14)))</f>
        <v>#DIV/0!</v>
      </c>
      <c r="AU13" s="101" t="e">
        <f t="shared" ref="AU13:AU76" si="29">IF(B13=MAX(mmo,mmv),teo,0)*(1+tcfo-incc)^(B13-mbfo)</f>
        <v>#DIV/0!</v>
      </c>
      <c r="AV13" s="287" t="e">
        <f t="shared" ref="AV13:AV76" si="30">IF(B13&gt;=MAX(mmo,mmv),IF(B13&lt;(mco+2),(vfo-teo)*AT13,0),0)*(1+tcfo-incc)^(B13-mbfo)+AU13</f>
        <v>#DIV/0!</v>
      </c>
      <c r="AW13" s="235" t="e">
        <f t="shared" ref="AW13:AW23" si="31">AV13+AZ12*(1+jfo)</f>
        <v>#DIV/0!</v>
      </c>
      <c r="AX13" s="281">
        <f>IF(B13&gt;mpfo,0,IF(B13=mpfo,(vld-teo*(1+tcfo-incc)^(MAX(mmo,mmv)-mbfo))*-1,IF(SUM($N12:N$13)&gt;=pmo,IF(($V12/ntudv)&gt;=pmv,IF(B13=MAX(mmo,mmv),-teo*(1+tcfo-incc)^(B13-mbfo),0),0),0)))</f>
        <v>0</v>
      </c>
      <c r="AY13" s="292">
        <f t="shared" ref="AY13:AY76" si="32">IF(IF(cjfo="M",(AZ12)*jfo,IF(B13=mpfo,AW13+AX13,0))*-1&gt;0,0,IF(cjfo="M",(AZ12)*jfo,IF(B13=mpfo,AW13+AX13,0))*-1)</f>
        <v>0</v>
      </c>
      <c r="AZ13" s="235" t="e">
        <f t="shared" ref="AZ13:AZ23" si="33">AW13+AX13+AY13</f>
        <v>#DIV/0!</v>
      </c>
      <c r="BA13" s="269" t="e">
        <f>AO13+AV13+AX13+AY13</f>
        <v>#DIV/0!</v>
      </c>
      <c r="BB13" s="292" t="e">
        <f>BB12+BA13</f>
        <v>#DIV/0!</v>
      </c>
      <c r="BC13" s="238">
        <v>0</v>
      </c>
      <c r="BD13" s="292" t="e">
        <f>IF(BB13+SUM($BD$12:BD12)&gt;=0,0,-BB13-SUM($BD$12:BD12))</f>
        <v>#DIV/0!</v>
      </c>
      <c r="BE13" s="235" t="e">
        <f>BB13+SUM($BD$12:BD13)</f>
        <v>#DIV/0!</v>
      </c>
      <c r="BF13" s="305" t="e">
        <f>-MIN(BE13:$BE$501)-SUM(BF$12:$BF12)</f>
        <v>#DIV/0!</v>
      </c>
      <c r="BG13" s="239" t="e">
        <f>NPV(cop,BD13:BD501)*(1+cop)</f>
        <v>#DIV/0!</v>
      </c>
      <c r="BH13" s="240" t="s">
        <v>185</v>
      </c>
    </row>
    <row r="14" spans="2:60">
      <c r="B14" s="246">
        <v>1</v>
      </c>
      <c r="C14" s="241">
        <f>DATE(YEAR(C13),MONTH(C13)+1,DAY(C13))</f>
        <v>42709</v>
      </c>
      <c r="D14" s="229">
        <f t="shared" ref="D14:D23" si="34">MONTH(C14)</f>
        <v>12</v>
      </c>
      <c r="E14" s="230" t="str">
        <f t="shared" ref="E14:E23" si="35">IF(B14=mpo,"Outorga",IF(B14=mpt,"Terreno",IF(B14=mlan,"Lançamento", IF(B14=mio,"Inic. Obras",IF(B14=mio+prazo-1,"Concl. Obras",IF(B14=mec,"Chaves", IF(B14=mpfo,"Pgto. Financ.","-")))))))</f>
        <v>Terreno</v>
      </c>
      <c r="F14" s="231">
        <f t="shared" si="2"/>
        <v>0</v>
      </c>
      <c r="G14" s="231">
        <f>IF(B14&gt;(mpt+npt),0,IF(B14&lt;(mpt+npt+1),IF(B14&gt;mpt,(vtd-vst)/npt/(igpm+1)^B14,IF(B14=mpt,vst/(igpm+1)^B14,0))))</f>
        <v>0</v>
      </c>
      <c r="H14" s="231">
        <f t="shared" si="4"/>
        <v>0</v>
      </c>
      <c r="I14" s="268">
        <f t="shared" si="5"/>
        <v>0</v>
      </c>
      <c r="J14" s="269">
        <f t="shared" si="6"/>
        <v>0</v>
      </c>
      <c r="K14" s="269">
        <f t="shared" ref="K14:K23" si="36">IF(B14&gt;mdji+npdji,0,IF(B14&lt;mdji+npdji,IF(B14&gt;=mdji,dji*vgv/npdji,0),0))*-1</f>
        <v>0</v>
      </c>
      <c r="L14" s="269">
        <f t="shared" si="7"/>
        <v>0</v>
      </c>
      <c r="M14" s="269">
        <f t="shared" si="8"/>
        <v>0</v>
      </c>
      <c r="N14" s="233">
        <f>VLOOKUP(B14,Dados!$L$86:$P$90,5)</f>
        <v>0</v>
      </c>
      <c r="O14" s="270">
        <f t="shared" ref="O14:O23" si="37">N14+O13</f>
        <v>0</v>
      </c>
      <c r="P14" s="269">
        <f t="shared" si="9"/>
        <v>0</v>
      </c>
      <c r="Q14" s="269" t="e">
        <f t="shared" si="10"/>
        <v>#DIV/0!</v>
      </c>
      <c r="R14" s="269">
        <f t="shared" si="11"/>
        <v>0</v>
      </c>
      <c r="S14" s="269" t="e">
        <f t="shared" si="12"/>
        <v>#DIV/0!</v>
      </c>
      <c r="T14" s="269" t="e">
        <f t="shared" ref="T14:T77" si="38">S14+P14+M14+L14+K14+I14+R14+Q14</f>
        <v>#DIV/0!</v>
      </c>
      <c r="U14" s="234">
        <f t="shared" si="13"/>
        <v>0</v>
      </c>
      <c r="V14" s="232">
        <f>V13+U14</f>
        <v>0</v>
      </c>
      <c r="W14" s="269" t="e">
        <f t="shared" ref="W14:W23" si="39">U14*vvm*sinal+X14+Z14+AB14</f>
        <v>#DIV/0!</v>
      </c>
      <c r="X14" s="235">
        <f t="shared" si="14"/>
        <v>0</v>
      </c>
      <c r="Y14" s="236">
        <f t="shared" si="15"/>
        <v>0</v>
      </c>
      <c r="Z14" s="236" t="e">
        <f t="shared" si="16"/>
        <v>#DIV/0!</v>
      </c>
      <c r="AA14" s="236">
        <f t="shared" si="17"/>
        <v>0</v>
      </c>
      <c r="AB14" s="236" t="e">
        <f t="shared" si="18"/>
        <v>#DIV/0!</v>
      </c>
      <c r="AC14" s="235" t="e">
        <f t="shared" si="19"/>
        <v>#DIV/0!</v>
      </c>
      <c r="AD14" s="235">
        <f t="shared" si="20"/>
        <v>0</v>
      </c>
      <c r="AE14" s="279" t="e">
        <f t="shared" ref="AE14:AE23" si="40">AD14+AC14</f>
        <v>#DIV/0!</v>
      </c>
      <c r="AF14" s="232">
        <f t="shared" si="21"/>
        <v>1</v>
      </c>
      <c r="AG14" s="235">
        <f t="shared" si="22"/>
        <v>0</v>
      </c>
      <c r="AH14" s="269">
        <f t="shared" si="23"/>
        <v>0</v>
      </c>
      <c r="AI14" s="232">
        <f t="shared" si="24"/>
        <v>1</v>
      </c>
      <c r="AJ14" s="235">
        <f t="shared" si="25"/>
        <v>0</v>
      </c>
      <c r="AK14" s="269">
        <f t="shared" si="26"/>
        <v>0</v>
      </c>
      <c r="AL14" s="269">
        <f t="shared" si="27"/>
        <v>0</v>
      </c>
      <c r="AM14" s="281">
        <f>IF(B14&gt;=mpfo,pos*vvm*Dados!$E$122*(ntudv-SUM(U15:$U$301))-SUM($AM13:AM$13),0)</f>
        <v>0</v>
      </c>
      <c r="AN14" s="269" t="e">
        <f t="shared" ref="AN14:AN23" si="41">AL14+AK14+AH14+AE14+W14+AM14</f>
        <v>#DIV/0!</v>
      </c>
      <c r="AO14" s="232" t="e">
        <f t="shared" si="28"/>
        <v>#DIV/0!</v>
      </c>
      <c r="AP14" s="242" t="e">
        <f>AP13+AO14</f>
        <v>#DIV/0!</v>
      </c>
      <c r="AQ14" s="235" t="e">
        <f>IF(AP14+SUM($AQ$12:AQ13)&gt;=0,0,-AP14-SUM($AQ$12:AQ13))</f>
        <v>#DIV/0!</v>
      </c>
      <c r="AR14" s="235">
        <f>IF(SUM($N$13:N13)&gt;=pmo,IF(SUM(N13:$N$501)&gt;(1-pmo),B14,0),0)</f>
        <v>0</v>
      </c>
      <c r="AS14" s="235" t="e">
        <f>IF((SUM($U$13:$U13)/ntudv)&gt;=pmv,IF((SUM($U13:$U$501)/ntudv)&gt;(1-pmv),B14,0),0)</f>
        <v>#DIV/0!</v>
      </c>
      <c r="AT14" s="237" t="e">
        <f>IF(MAX(mmo,mmv)=mmo,IF(B14=AR14,(SUM(N$13:$N13)-pmo)/((1-VLOOKUP(MAX(mmo,mmv)-1,$B$13:$O$501,14))+(VLOOKUP(MAX(mmo,mmv)-1,$B$13:$O$501,14)-pmo)),N13/((1-VLOOKUP(MAX(mmo,mmv)-1,$B$13:$O$501,14)+(VLOOKUP(MAX(mmo,mmv)-1,$B$13:$O$501,14)-pmo)))),N13/(1-VLOOKUP(MAX(mmo,mmv)-2,$B$13:$O$501,14)))</f>
        <v>#DIV/0!</v>
      </c>
      <c r="AU14" s="101" t="e">
        <f t="shared" si="29"/>
        <v>#DIV/0!</v>
      </c>
      <c r="AV14" s="287" t="e">
        <f t="shared" si="30"/>
        <v>#DIV/0!</v>
      </c>
      <c r="AW14" s="235" t="e">
        <f t="shared" si="31"/>
        <v>#DIV/0!</v>
      </c>
      <c r="AX14" s="281">
        <f>IF(B14&gt;mpfo,0,IF(B14=mpfo,(vld-teo*(1+tcfo-incc)^(MAX(mmo,mmv)-mbfo))*-1,IF(SUM($N$13:N13)&gt;=pmo,IF(($V13/ntudv)&gt;=pmv,IF(B14=MAX(mmo,mmv),-teo*(1+tcfo-incc)^(B14-mbfo),0),0),0)))</f>
        <v>0</v>
      </c>
      <c r="AY14" s="292" t="e">
        <f t="shared" si="32"/>
        <v>#DIV/0!</v>
      </c>
      <c r="AZ14" s="235" t="e">
        <f t="shared" si="33"/>
        <v>#DIV/0!</v>
      </c>
      <c r="BA14" s="269" t="e">
        <f t="shared" ref="BA14:BA23" si="42">AO14+AV14+AX14+AY14</f>
        <v>#DIV/0!</v>
      </c>
      <c r="BB14" s="292" t="e">
        <f>BB13+BA14</f>
        <v>#DIV/0!</v>
      </c>
      <c r="BC14" s="238" t="e">
        <f>IF(SUM($BC$13:BC13)&gt;0,0,IF(BB14&gt;0,B14,0))</f>
        <v>#DIV/0!</v>
      </c>
      <c r="BD14" s="292" t="e">
        <f>IF(BB14+SUM($BD$12:BD13)&gt;=0,0,-BB14-SUM($BD$12:BD13))</f>
        <v>#DIV/0!</v>
      </c>
      <c r="BE14" s="235" t="e">
        <f>BB14+SUM($BD$12:BD14)</f>
        <v>#DIV/0!</v>
      </c>
      <c r="BF14" s="292" t="e">
        <f>-MIN(BE14:$BE$501)-SUM(BF$12:$BF13)</f>
        <v>#DIV/0!</v>
      </c>
      <c r="BG14" s="243" t="e">
        <f>BF14</f>
        <v>#DIV/0!</v>
      </c>
    </row>
    <row r="15" spans="2:60">
      <c r="B15" s="120">
        <v>2</v>
      </c>
      <c r="C15" s="241">
        <f t="shared" ref="C15:C78" si="43">DATE(YEAR(C14),MONTH(C14)+1,DAY(C14))</f>
        <v>42740</v>
      </c>
      <c r="D15" s="229">
        <f t="shared" si="34"/>
        <v>1</v>
      </c>
      <c r="E15" s="230" t="str">
        <f t="shared" si="35"/>
        <v>-</v>
      </c>
      <c r="F15" s="231">
        <f t="shared" si="2"/>
        <v>0</v>
      </c>
      <c r="G15" s="231">
        <f t="shared" si="3"/>
        <v>0</v>
      </c>
      <c r="H15" s="231">
        <f t="shared" si="4"/>
        <v>0</v>
      </c>
      <c r="I15" s="268">
        <f t="shared" si="5"/>
        <v>0</v>
      </c>
      <c r="J15" s="269">
        <f t="shared" si="6"/>
        <v>0</v>
      </c>
      <c r="K15" s="269">
        <f t="shared" si="36"/>
        <v>0</v>
      </c>
      <c r="L15" s="269">
        <f t="shared" si="7"/>
        <v>0</v>
      </c>
      <c r="M15" s="269">
        <f t="shared" si="8"/>
        <v>0</v>
      </c>
      <c r="N15" s="233">
        <f>VLOOKUP(B15,Dados!$L$86:$P$90,5)</f>
        <v>0</v>
      </c>
      <c r="O15" s="270">
        <f t="shared" si="37"/>
        <v>0</v>
      </c>
      <c r="P15" s="269">
        <f t="shared" si="9"/>
        <v>0</v>
      </c>
      <c r="Q15" s="269" t="e">
        <f t="shared" si="10"/>
        <v>#DIV/0!</v>
      </c>
      <c r="R15" s="269">
        <f t="shared" si="11"/>
        <v>0</v>
      </c>
      <c r="S15" s="269" t="e">
        <f t="shared" si="12"/>
        <v>#DIV/0!</v>
      </c>
      <c r="T15" s="269" t="e">
        <f t="shared" si="38"/>
        <v>#DIV/0!</v>
      </c>
      <c r="U15" s="234">
        <f t="shared" si="13"/>
        <v>0</v>
      </c>
      <c r="V15" s="232">
        <f t="shared" ref="V15:V23" si="44">V14+U15</f>
        <v>0</v>
      </c>
      <c r="W15" s="269" t="e">
        <f t="shared" si="39"/>
        <v>#DIV/0!</v>
      </c>
      <c r="X15" s="235">
        <f t="shared" si="14"/>
        <v>0</v>
      </c>
      <c r="Y15" s="236">
        <f t="shared" si="15"/>
        <v>0</v>
      </c>
      <c r="Z15" s="236" t="e">
        <f t="shared" si="16"/>
        <v>#DIV/0!</v>
      </c>
      <c r="AA15" s="236">
        <f t="shared" si="17"/>
        <v>0</v>
      </c>
      <c r="AB15" s="236" t="e">
        <f t="shared" si="18"/>
        <v>#DIV/0!</v>
      </c>
      <c r="AC15" s="235" t="e">
        <f t="shared" si="19"/>
        <v>#DIV/0!</v>
      </c>
      <c r="AD15" s="235">
        <f t="shared" si="20"/>
        <v>0</v>
      </c>
      <c r="AE15" s="279" t="e">
        <f t="shared" si="40"/>
        <v>#DIV/0!</v>
      </c>
      <c r="AF15" s="232">
        <f t="shared" si="21"/>
        <v>0</v>
      </c>
      <c r="AG15" s="235">
        <f t="shared" si="22"/>
        <v>0</v>
      </c>
      <c r="AH15" s="269">
        <f t="shared" si="23"/>
        <v>0</v>
      </c>
      <c r="AI15" s="232">
        <f t="shared" si="24"/>
        <v>0</v>
      </c>
      <c r="AJ15" s="235">
        <f t="shared" si="25"/>
        <v>0</v>
      </c>
      <c r="AK15" s="269">
        <f t="shared" si="26"/>
        <v>0</v>
      </c>
      <c r="AL15" s="269">
        <f t="shared" si="27"/>
        <v>0</v>
      </c>
      <c r="AM15" s="281">
        <f>IF(B15&gt;=mpfo,pos*vvm*Dados!$E$122*(ntudv-SUM(U16:$U$301))-SUM($AM$13:AM14),0)</f>
        <v>0</v>
      </c>
      <c r="AN15" s="269" t="e">
        <f t="shared" si="41"/>
        <v>#DIV/0!</v>
      </c>
      <c r="AO15" s="232" t="e">
        <f t="shared" si="28"/>
        <v>#DIV/0!</v>
      </c>
      <c r="AP15" s="242" t="e">
        <f t="shared" ref="AP15:AP23" si="45">AP14+AO15</f>
        <v>#DIV/0!</v>
      </c>
      <c r="AQ15" s="235" t="e">
        <f>IF(AP15+SUM($AQ$12:AQ14)&gt;=0,0,-AP15-SUM($AQ$12:AQ14))</f>
        <v>#DIV/0!</v>
      </c>
      <c r="AR15" s="235">
        <f>IF(SUM($N$13:N14)&gt;=pmo,IF(SUM(N14:$N$501)&gt;(1-pmo),B15,0),0)</f>
        <v>0</v>
      </c>
      <c r="AS15" s="235" t="e">
        <f>IF((SUM($U$13:$U14)/ntudv)&gt;=pmv,IF((SUM($U14:$U$501)/ntudv)&gt;(1-pmv),B15,0),0)</f>
        <v>#DIV/0!</v>
      </c>
      <c r="AT15" s="237" t="e">
        <f>IF(MAX(mmo,mmv)=mmo,IF(B15=AR15,(SUM(N$13:$N14)-pmo)/((1-VLOOKUP(MAX(mmo,mmv)-1,$B$13:$O$501,14))+(VLOOKUP(MAX(mmo,mmv)-1,$B$13:$O$501,14)-pmo)),N14/((1-VLOOKUP(MAX(mmo,mmv)-1,$B$13:$O$501,14)+(VLOOKUP(MAX(mmo,mmv)-1,$B$13:$O$501,14)-pmo)))),N14/(1-VLOOKUP(MAX(mmo,mmv)-2,$B$13:$O$501,14)))</f>
        <v>#DIV/0!</v>
      </c>
      <c r="AU15" s="101" t="e">
        <f t="shared" si="29"/>
        <v>#DIV/0!</v>
      </c>
      <c r="AV15" s="287" t="e">
        <f t="shared" si="30"/>
        <v>#DIV/0!</v>
      </c>
      <c r="AW15" s="235" t="e">
        <f t="shared" si="31"/>
        <v>#DIV/0!</v>
      </c>
      <c r="AX15" s="281">
        <f>IF(B15&gt;mpfo,0,IF(B15=mpfo,(vld-teo*(1+tcfo-incc)^(MAX(mmo,mmv)-mbfo))*-1,IF(SUM($N$13:N14)&gt;=pmo,IF(($V14/ntudv)&gt;=pmv,IF(B15=MAX(mmo,mmv),-teo*(1+tcfo-incc)^(B15-mbfo),0),0),0)))</f>
        <v>0</v>
      </c>
      <c r="AY15" s="292" t="e">
        <f t="shared" si="32"/>
        <v>#DIV/0!</v>
      </c>
      <c r="AZ15" s="235" t="e">
        <f t="shared" si="33"/>
        <v>#DIV/0!</v>
      </c>
      <c r="BA15" s="269" t="e">
        <f t="shared" si="42"/>
        <v>#DIV/0!</v>
      </c>
      <c r="BB15" s="292" t="e">
        <f t="shared" ref="BB15:BB23" si="46">BB14+BA15</f>
        <v>#DIV/0!</v>
      </c>
      <c r="BC15" s="238" t="e">
        <f>IF(SUM($BC$13:BC14)&gt;0,0,IF(BB15&gt;0,B15,0))</f>
        <v>#DIV/0!</v>
      </c>
      <c r="BD15" s="292" t="e">
        <f>IF(BB15+SUM($BD$12:BD14)&gt;=0,0,-BB15-SUM($BD$12:BD14))</f>
        <v>#DIV/0!</v>
      </c>
      <c r="BE15" s="235" t="e">
        <f>BB15+SUM($BD$12:BD15)</f>
        <v>#DIV/0!</v>
      </c>
      <c r="BF15" s="292" t="e">
        <f>-MIN(BE15:$BE$501)-SUM(BF$12:$BF14)</f>
        <v>#DIV/0!</v>
      </c>
      <c r="BG15" s="235" t="e">
        <f t="shared" ref="BG15:BG78" si="47">BF15</f>
        <v>#DIV/0!</v>
      </c>
    </row>
    <row r="16" spans="2:60">
      <c r="B16" s="246">
        <v>3</v>
      </c>
      <c r="C16" s="241">
        <f>DATE(YEAR(C15),MONTH(C15)+1,DAY(C15))</f>
        <v>42771</v>
      </c>
      <c r="D16" s="229">
        <f t="shared" si="34"/>
        <v>2</v>
      </c>
      <c r="E16" s="230" t="str">
        <f t="shared" si="35"/>
        <v>-</v>
      </c>
      <c r="F16" s="231">
        <f t="shared" si="2"/>
        <v>0</v>
      </c>
      <c r="G16" s="231">
        <f t="shared" si="3"/>
        <v>0</v>
      </c>
      <c r="H16" s="231">
        <f t="shared" si="4"/>
        <v>0</v>
      </c>
      <c r="I16" s="268">
        <f t="shared" si="5"/>
        <v>0</v>
      </c>
      <c r="J16" s="269">
        <f t="shared" si="6"/>
        <v>0</v>
      </c>
      <c r="K16" s="269">
        <f t="shared" si="36"/>
        <v>0</v>
      </c>
      <c r="L16" s="269">
        <f t="shared" si="7"/>
        <v>0</v>
      </c>
      <c r="M16" s="269">
        <f t="shared" si="8"/>
        <v>0</v>
      </c>
      <c r="N16" s="233">
        <f>VLOOKUP(B16,Dados!$L$86:$P$90,5)</f>
        <v>0</v>
      </c>
      <c r="O16" s="270">
        <f t="shared" si="37"/>
        <v>0</v>
      </c>
      <c r="P16" s="269">
        <f t="shared" si="9"/>
        <v>0</v>
      </c>
      <c r="Q16" s="269" t="e">
        <f t="shared" si="10"/>
        <v>#DIV/0!</v>
      </c>
      <c r="R16" s="269">
        <f t="shared" si="11"/>
        <v>0</v>
      </c>
      <c r="S16" s="269" t="e">
        <f t="shared" si="12"/>
        <v>#DIV/0!</v>
      </c>
      <c r="T16" s="269" t="e">
        <f t="shared" si="38"/>
        <v>#DIV/0!</v>
      </c>
      <c r="U16" s="234">
        <f t="shared" si="13"/>
        <v>0</v>
      </c>
      <c r="V16" s="232">
        <f t="shared" si="44"/>
        <v>0</v>
      </c>
      <c r="W16" s="269" t="e">
        <f t="shared" si="39"/>
        <v>#DIV/0!</v>
      </c>
      <c r="X16" s="235">
        <f t="shared" si="14"/>
        <v>0</v>
      </c>
      <c r="Y16" s="236">
        <f t="shared" si="15"/>
        <v>0</v>
      </c>
      <c r="Z16" s="236" t="e">
        <f t="shared" si="16"/>
        <v>#DIV/0!</v>
      </c>
      <c r="AA16" s="236">
        <f t="shared" si="17"/>
        <v>0</v>
      </c>
      <c r="AB16" s="236" t="e">
        <f t="shared" si="18"/>
        <v>#DIV/0!</v>
      </c>
      <c r="AC16" s="235" t="e">
        <f t="shared" si="19"/>
        <v>#DIV/0!</v>
      </c>
      <c r="AD16" s="235">
        <f t="shared" si="20"/>
        <v>0</v>
      </c>
      <c r="AE16" s="279" t="e">
        <f t="shared" si="40"/>
        <v>#DIV/0!</v>
      </c>
      <c r="AF16" s="232">
        <f t="shared" si="21"/>
        <v>0</v>
      </c>
      <c r="AG16" s="235">
        <f t="shared" si="22"/>
        <v>0</v>
      </c>
      <c r="AH16" s="269">
        <f t="shared" si="23"/>
        <v>0</v>
      </c>
      <c r="AI16" s="232">
        <f t="shared" si="24"/>
        <v>0</v>
      </c>
      <c r="AJ16" s="235">
        <f t="shared" si="25"/>
        <v>0</v>
      </c>
      <c r="AK16" s="269">
        <f t="shared" si="26"/>
        <v>0</v>
      </c>
      <c r="AL16" s="269">
        <f t="shared" si="27"/>
        <v>0</v>
      </c>
      <c r="AM16" s="281">
        <f>IF(B16&gt;=mpfo,pos*vvm*Dados!$E$122*(ntudv-SUM(U17:$U$301))-SUM($AM$13:AM15),0)</f>
        <v>0</v>
      </c>
      <c r="AN16" s="269" t="e">
        <f t="shared" si="41"/>
        <v>#DIV/0!</v>
      </c>
      <c r="AO16" s="232" t="e">
        <f t="shared" si="28"/>
        <v>#DIV/0!</v>
      </c>
      <c r="AP16" s="242" t="e">
        <f t="shared" si="45"/>
        <v>#DIV/0!</v>
      </c>
      <c r="AQ16" s="235" t="e">
        <f>IF(AP16+SUM($AQ$12:AQ15)&gt;=0,0,-AP16-SUM($AQ$12:AQ15))</f>
        <v>#DIV/0!</v>
      </c>
      <c r="AR16" s="235">
        <f>IF(SUM($N$13:N15)&gt;=pmo,IF(SUM(N15:$N$501)&gt;(1-pmo),B16,0),0)</f>
        <v>0</v>
      </c>
      <c r="AS16" s="235" t="e">
        <f>IF((SUM($U$13:$U15)/ntudv)&gt;=pmv,IF((SUM($U15:$U$501)/ntudv)&gt;(1-pmv),B16,0),0)</f>
        <v>#DIV/0!</v>
      </c>
      <c r="AT16" s="237" t="e">
        <f>IF(MAX(mmo,mmv)=mmo,IF(B16=AR16,(SUM(N$13:$N15)-pmo)/((1-VLOOKUP(MAX(mmo,mmv)-1,$B$13:$O$501,14))+(VLOOKUP(MAX(mmo,mmv)-1,$B$13:$O$501,14)-pmo)),N15/((1-VLOOKUP(MAX(mmo,mmv)-1,$B$13:$O$501,14)+(VLOOKUP(MAX(mmo,mmv)-1,$B$13:$O$501,14)-pmo)))),N15/(1-VLOOKUP(MAX(mmo,mmv)-2,$B$13:$O$501,14)))</f>
        <v>#DIV/0!</v>
      </c>
      <c r="AU16" s="101" t="e">
        <f t="shared" si="29"/>
        <v>#DIV/0!</v>
      </c>
      <c r="AV16" s="287" t="e">
        <f t="shared" si="30"/>
        <v>#DIV/0!</v>
      </c>
      <c r="AW16" s="235" t="e">
        <f t="shared" si="31"/>
        <v>#DIV/0!</v>
      </c>
      <c r="AX16" s="281">
        <f>IF(B16&gt;mpfo,0,IF(B16=mpfo,(vld-teo*(1+tcfo-incc)^(MAX(mmo,mmv)-mbfo))*-1,IF(SUM($N$13:N15)&gt;=pmo,IF(($V15/ntudv)&gt;=pmv,IF(B16=MAX(mmo,mmv),-teo*(1+tcfo-incc)^(B16-mbfo),0),0),0)))</f>
        <v>0</v>
      </c>
      <c r="AY16" s="292" t="e">
        <f t="shared" si="32"/>
        <v>#DIV/0!</v>
      </c>
      <c r="AZ16" s="235" t="e">
        <f t="shared" si="33"/>
        <v>#DIV/0!</v>
      </c>
      <c r="BA16" s="269" t="e">
        <f t="shared" si="42"/>
        <v>#DIV/0!</v>
      </c>
      <c r="BB16" s="292" t="e">
        <f t="shared" si="46"/>
        <v>#DIV/0!</v>
      </c>
      <c r="BC16" s="238" t="e">
        <f>IF(SUM($BC$13:BC15)&gt;0,0,IF(BB16&gt;0,B16,0))</f>
        <v>#DIV/0!</v>
      </c>
      <c r="BD16" s="292" t="e">
        <f>IF(BB16+SUM($BD$12:BD15)&gt;=0,0,-BB16-SUM($BD$12:BD15))</f>
        <v>#DIV/0!</v>
      </c>
      <c r="BE16" s="235" t="e">
        <f>BB16+SUM($BD$12:BD16)</f>
        <v>#DIV/0!</v>
      </c>
      <c r="BF16" s="292" t="e">
        <f>-MIN(BE16:$BE$501)-SUM(BF$12:$BF15)</f>
        <v>#DIV/0!</v>
      </c>
      <c r="BG16" s="235" t="e">
        <f t="shared" si="47"/>
        <v>#DIV/0!</v>
      </c>
    </row>
    <row r="17" spans="2:59">
      <c r="B17" s="120">
        <v>4</v>
      </c>
      <c r="C17" s="241">
        <f t="shared" si="43"/>
        <v>42799</v>
      </c>
      <c r="D17" s="229">
        <f t="shared" si="34"/>
        <v>3</v>
      </c>
      <c r="E17" s="230" t="str">
        <f t="shared" si="35"/>
        <v>Outorga</v>
      </c>
      <c r="F17" s="231">
        <f t="shared" si="2"/>
        <v>0</v>
      </c>
      <c r="G17" s="231">
        <f t="shared" si="3"/>
        <v>0</v>
      </c>
      <c r="H17" s="231">
        <f t="shared" si="4"/>
        <v>0</v>
      </c>
      <c r="I17" s="268">
        <f t="shared" si="5"/>
        <v>0</v>
      </c>
      <c r="J17" s="269">
        <f t="shared" si="6"/>
        <v>0</v>
      </c>
      <c r="K17" s="269">
        <f t="shared" si="36"/>
        <v>0</v>
      </c>
      <c r="L17" s="269">
        <f t="shared" si="7"/>
        <v>0</v>
      </c>
      <c r="M17" s="269">
        <f t="shared" si="8"/>
        <v>0</v>
      </c>
      <c r="N17" s="233">
        <f>VLOOKUP(B17,Dados!$L$86:$P$90,5)</f>
        <v>0</v>
      </c>
      <c r="O17" s="270">
        <f t="shared" si="37"/>
        <v>0</v>
      </c>
      <c r="P17" s="269">
        <f t="shared" si="9"/>
        <v>0</v>
      </c>
      <c r="Q17" s="269" t="e">
        <f t="shared" si="10"/>
        <v>#DIV/0!</v>
      </c>
      <c r="R17" s="269">
        <f t="shared" si="11"/>
        <v>0</v>
      </c>
      <c r="S17" s="269" t="e">
        <f t="shared" si="12"/>
        <v>#DIV/0!</v>
      </c>
      <c r="T17" s="269" t="e">
        <f t="shared" si="38"/>
        <v>#DIV/0!</v>
      </c>
      <c r="U17" s="234">
        <f t="shared" si="13"/>
        <v>0</v>
      </c>
      <c r="V17" s="232">
        <f t="shared" si="44"/>
        <v>0</v>
      </c>
      <c r="W17" s="269" t="e">
        <f t="shared" si="39"/>
        <v>#DIV/0!</v>
      </c>
      <c r="X17" s="235">
        <f t="shared" si="14"/>
        <v>0</v>
      </c>
      <c r="Y17" s="236">
        <f t="shared" si="15"/>
        <v>0</v>
      </c>
      <c r="Z17" s="236" t="e">
        <f t="shared" si="16"/>
        <v>#DIV/0!</v>
      </c>
      <c r="AA17" s="236">
        <f t="shared" si="17"/>
        <v>0</v>
      </c>
      <c r="AB17" s="236" t="e">
        <f t="shared" si="18"/>
        <v>#DIV/0!</v>
      </c>
      <c r="AC17" s="235" t="e">
        <f t="shared" si="19"/>
        <v>#DIV/0!</v>
      </c>
      <c r="AD17" s="235">
        <f t="shared" si="20"/>
        <v>0</v>
      </c>
      <c r="AE17" s="279" t="e">
        <f t="shared" si="40"/>
        <v>#DIV/0!</v>
      </c>
      <c r="AF17" s="232">
        <f t="shared" si="21"/>
        <v>0</v>
      </c>
      <c r="AG17" s="235">
        <f t="shared" si="22"/>
        <v>0</v>
      </c>
      <c r="AH17" s="269">
        <f t="shared" si="23"/>
        <v>0</v>
      </c>
      <c r="AI17" s="232">
        <f t="shared" si="24"/>
        <v>0</v>
      </c>
      <c r="AJ17" s="235">
        <f t="shared" si="25"/>
        <v>0</v>
      </c>
      <c r="AK17" s="269">
        <f t="shared" si="26"/>
        <v>0</v>
      </c>
      <c r="AL17" s="269">
        <f t="shared" si="27"/>
        <v>0</v>
      </c>
      <c r="AM17" s="281">
        <f>IF(B17&gt;=mpfo,pos*vvm*Dados!$E$122*(ntudv-SUM(U18:$U$301))-SUM($AM$13:AM16),0)</f>
        <v>0</v>
      </c>
      <c r="AN17" s="269" t="e">
        <f t="shared" si="41"/>
        <v>#DIV/0!</v>
      </c>
      <c r="AO17" s="232" t="e">
        <f t="shared" si="28"/>
        <v>#DIV/0!</v>
      </c>
      <c r="AP17" s="242" t="e">
        <f t="shared" si="45"/>
        <v>#DIV/0!</v>
      </c>
      <c r="AQ17" s="235" t="e">
        <f>IF(AP17+SUM($AQ$12:AQ16)&gt;=0,0,-AP17-SUM($AQ$12:AQ16))</f>
        <v>#DIV/0!</v>
      </c>
      <c r="AR17" s="235">
        <f>IF(SUM($N$13:N16)&gt;=pmo,IF(SUM(N16:$N$501)&gt;(1-pmo),B17,0),0)</f>
        <v>0</v>
      </c>
      <c r="AS17" s="235" t="e">
        <f>IF((SUM($U$13:$U16)/ntudv)&gt;=pmv,IF((SUM($U16:$U$501)/ntudv)&gt;(1-pmv),B17,0),0)</f>
        <v>#DIV/0!</v>
      </c>
      <c r="AT17" s="237" t="e">
        <f>IF(MAX(mmo,mmv)=mmo,IF(B17=AR17,(SUM(N$13:$N16)-pmo)/((1-VLOOKUP(MAX(mmo,mmv)-1,$B$13:$O$501,14))+(VLOOKUP(MAX(mmo,mmv)-1,$B$13:$O$501,14)-pmo)),N16/((1-VLOOKUP(MAX(mmo,mmv)-1,$B$13:$O$501,14)+(VLOOKUP(MAX(mmo,mmv)-1,$B$13:$O$501,14)-pmo)))),N16/(1-VLOOKUP(MAX(mmo,mmv)-2,$B$13:$O$501,14)))</f>
        <v>#DIV/0!</v>
      </c>
      <c r="AU17" s="101" t="e">
        <f t="shared" si="29"/>
        <v>#DIV/0!</v>
      </c>
      <c r="AV17" s="287" t="e">
        <f t="shared" si="30"/>
        <v>#DIV/0!</v>
      </c>
      <c r="AW17" s="235" t="e">
        <f t="shared" si="31"/>
        <v>#DIV/0!</v>
      </c>
      <c r="AX17" s="281">
        <f>IF(B17&gt;mpfo,0,IF(B17=mpfo,(vld-teo*(1+tcfo-incc)^(MAX(mmo,mmv)-mbfo))*-1,IF(SUM($N$13:N16)&gt;=pmo,IF(($V16/ntudv)&gt;=pmv,IF(B17=MAX(mmo,mmv),-teo*(1+tcfo-incc)^(B17-mbfo),0),0),0)))</f>
        <v>0</v>
      </c>
      <c r="AY17" s="292" t="e">
        <f t="shared" si="32"/>
        <v>#DIV/0!</v>
      </c>
      <c r="AZ17" s="235" t="e">
        <f t="shared" si="33"/>
        <v>#DIV/0!</v>
      </c>
      <c r="BA17" s="269" t="e">
        <f t="shared" si="42"/>
        <v>#DIV/0!</v>
      </c>
      <c r="BB17" s="292" t="e">
        <f t="shared" si="46"/>
        <v>#DIV/0!</v>
      </c>
      <c r="BC17" s="238" t="e">
        <f>IF(SUM($BC$13:BC16)&gt;0,0,IF(BB17&gt;0,B17,0))</f>
        <v>#DIV/0!</v>
      </c>
      <c r="BD17" s="292" t="e">
        <f>IF(BB17+SUM($BD$12:BD16)&gt;=0,0,-BB17-SUM($BD$12:BD16))</f>
        <v>#DIV/0!</v>
      </c>
      <c r="BE17" s="235" t="e">
        <f>BB17+SUM($BD$12:BD17)</f>
        <v>#DIV/0!</v>
      </c>
      <c r="BF17" s="292" t="e">
        <f>-MIN(BE17:$BE$501)-SUM(BF$12:$BF16)</f>
        <v>#DIV/0!</v>
      </c>
      <c r="BG17" s="235" t="e">
        <f t="shared" si="47"/>
        <v>#DIV/0!</v>
      </c>
    </row>
    <row r="18" spans="2:59">
      <c r="B18" s="246">
        <v>5</v>
      </c>
      <c r="C18" s="241">
        <f t="shared" si="43"/>
        <v>42830</v>
      </c>
      <c r="D18" s="229">
        <f t="shared" si="34"/>
        <v>4</v>
      </c>
      <c r="E18" s="230" t="str">
        <f t="shared" si="35"/>
        <v>-</v>
      </c>
      <c r="F18" s="231">
        <f t="shared" si="2"/>
        <v>0</v>
      </c>
      <c r="G18" s="231">
        <f t="shared" si="3"/>
        <v>0</v>
      </c>
      <c r="H18" s="231">
        <f t="shared" si="4"/>
        <v>0</v>
      </c>
      <c r="I18" s="268">
        <f t="shared" si="5"/>
        <v>0</v>
      </c>
      <c r="J18" s="269">
        <f t="shared" si="6"/>
        <v>0</v>
      </c>
      <c r="K18" s="269">
        <f t="shared" si="36"/>
        <v>0</v>
      </c>
      <c r="L18" s="269">
        <f t="shared" si="7"/>
        <v>0</v>
      </c>
      <c r="M18" s="269">
        <f t="shared" si="8"/>
        <v>0</v>
      </c>
      <c r="N18" s="233">
        <f>VLOOKUP(B18,Dados!$L$86:$P$90,5)</f>
        <v>0</v>
      </c>
      <c r="O18" s="270">
        <f t="shared" si="37"/>
        <v>0</v>
      </c>
      <c r="P18" s="269">
        <f t="shared" si="9"/>
        <v>0</v>
      </c>
      <c r="Q18" s="269" t="e">
        <f t="shared" si="10"/>
        <v>#DIV/0!</v>
      </c>
      <c r="R18" s="269">
        <f t="shared" si="11"/>
        <v>0</v>
      </c>
      <c r="S18" s="269" t="e">
        <f t="shared" si="12"/>
        <v>#DIV/0!</v>
      </c>
      <c r="T18" s="269" t="e">
        <f t="shared" si="38"/>
        <v>#DIV/0!</v>
      </c>
      <c r="U18" s="234">
        <f t="shared" si="13"/>
        <v>0</v>
      </c>
      <c r="V18" s="232">
        <f t="shared" si="44"/>
        <v>0</v>
      </c>
      <c r="W18" s="269" t="e">
        <f t="shared" si="39"/>
        <v>#DIV/0!</v>
      </c>
      <c r="X18" s="235">
        <f t="shared" si="14"/>
        <v>0</v>
      </c>
      <c r="Y18" s="236">
        <f t="shared" si="15"/>
        <v>0</v>
      </c>
      <c r="Z18" s="236" t="e">
        <f t="shared" si="16"/>
        <v>#DIV/0!</v>
      </c>
      <c r="AA18" s="236">
        <f t="shared" si="17"/>
        <v>0</v>
      </c>
      <c r="AB18" s="236" t="e">
        <f t="shared" si="18"/>
        <v>#DIV/0!</v>
      </c>
      <c r="AC18" s="235" t="e">
        <f t="shared" si="19"/>
        <v>#DIV/0!</v>
      </c>
      <c r="AD18" s="235">
        <f t="shared" si="20"/>
        <v>0</v>
      </c>
      <c r="AE18" s="279" t="e">
        <f t="shared" si="40"/>
        <v>#DIV/0!</v>
      </c>
      <c r="AF18" s="232">
        <f t="shared" si="21"/>
        <v>0</v>
      </c>
      <c r="AG18" s="235">
        <f t="shared" si="22"/>
        <v>0</v>
      </c>
      <c r="AH18" s="269">
        <f t="shared" si="23"/>
        <v>0</v>
      </c>
      <c r="AI18" s="232">
        <f t="shared" si="24"/>
        <v>0</v>
      </c>
      <c r="AJ18" s="235">
        <f t="shared" si="25"/>
        <v>0</v>
      </c>
      <c r="AK18" s="269">
        <f t="shared" si="26"/>
        <v>0</v>
      </c>
      <c r="AL18" s="269">
        <f t="shared" si="27"/>
        <v>0</v>
      </c>
      <c r="AM18" s="281">
        <f>IF(B18&gt;=mpfo,pos*vvm*Dados!$E$122*(ntudv-SUM(U19:$U$301))-SUM($AM$13:AM17),0)</f>
        <v>0</v>
      </c>
      <c r="AN18" s="269" t="e">
        <f t="shared" si="41"/>
        <v>#DIV/0!</v>
      </c>
      <c r="AO18" s="232" t="e">
        <f t="shared" si="28"/>
        <v>#DIV/0!</v>
      </c>
      <c r="AP18" s="242" t="e">
        <f t="shared" si="45"/>
        <v>#DIV/0!</v>
      </c>
      <c r="AQ18" s="235" t="e">
        <f>IF(AP18+SUM($AQ$12:AQ17)&gt;=0,0,-AP18-SUM($AQ$12:AQ17))</f>
        <v>#DIV/0!</v>
      </c>
      <c r="AR18" s="235">
        <f>IF(SUM($N$13:N17)&gt;=pmo,IF(SUM(N17:$N$501)&gt;(1-pmo),B18,0),0)</f>
        <v>0</v>
      </c>
      <c r="AS18" s="235" t="e">
        <f>IF((SUM($U$13:$U17)/ntudv)&gt;=pmv,IF((SUM($U17:$U$501)/ntudv)&gt;(1-pmv),B18,0),0)</f>
        <v>#DIV/0!</v>
      </c>
      <c r="AT18" s="237" t="e">
        <f>IF(MAX(mmo,mmv)=mmo,IF(B18=AR18,(SUM(N$13:$N17)-pmo)/((1-VLOOKUP(MAX(mmo,mmv)-1,$B$13:$O$501,14))+(VLOOKUP(MAX(mmo,mmv)-1,$B$13:$O$501,14)-pmo)),N17/((1-VLOOKUP(MAX(mmo,mmv)-1,$B$13:$O$501,14)+(VLOOKUP(MAX(mmo,mmv)-1,$B$13:$O$501,14)-pmo)))),N17/(1-VLOOKUP(MAX(mmo,mmv)-2,$B$13:$O$501,14)))</f>
        <v>#DIV/0!</v>
      </c>
      <c r="AU18" s="101" t="e">
        <f t="shared" si="29"/>
        <v>#DIV/0!</v>
      </c>
      <c r="AV18" s="287" t="e">
        <f t="shared" si="30"/>
        <v>#DIV/0!</v>
      </c>
      <c r="AW18" s="235" t="e">
        <f t="shared" si="31"/>
        <v>#DIV/0!</v>
      </c>
      <c r="AX18" s="281">
        <f>IF(B18&gt;mpfo,0,IF(B18=mpfo,(vld-teo*(1+tcfo-incc)^(MAX(mmo,mmv)-mbfo))*-1,IF(SUM($N$13:N17)&gt;=pmo,IF(($V17/ntudv)&gt;=pmv,IF(B18=MAX(mmo,mmv),-teo*(1+tcfo-incc)^(B18-mbfo),0),0),0)))</f>
        <v>0</v>
      </c>
      <c r="AY18" s="292" t="e">
        <f t="shared" si="32"/>
        <v>#DIV/0!</v>
      </c>
      <c r="AZ18" s="235" t="e">
        <f t="shared" si="33"/>
        <v>#DIV/0!</v>
      </c>
      <c r="BA18" s="269" t="e">
        <f t="shared" si="42"/>
        <v>#DIV/0!</v>
      </c>
      <c r="BB18" s="292" t="e">
        <f t="shared" si="46"/>
        <v>#DIV/0!</v>
      </c>
      <c r="BC18" s="238" t="e">
        <f>IF(SUM($BC$13:BC17)&gt;0,0,IF(BB18&gt;0,B18,0))</f>
        <v>#DIV/0!</v>
      </c>
      <c r="BD18" s="292" t="e">
        <f>IF(BB18+SUM($BD$12:BD17)&gt;=0,0,-BB18-SUM($BD$12:BD17))</f>
        <v>#DIV/0!</v>
      </c>
      <c r="BE18" s="235" t="e">
        <f>BB18+SUM($BD$12:BD18)</f>
        <v>#DIV/0!</v>
      </c>
      <c r="BF18" s="292" t="e">
        <f>-MIN(BE18:$BE$501)-SUM(BF$12:$BF17)</f>
        <v>#DIV/0!</v>
      </c>
      <c r="BG18" s="235" t="e">
        <f t="shared" si="47"/>
        <v>#DIV/0!</v>
      </c>
    </row>
    <row r="19" spans="2:59">
      <c r="B19" s="120">
        <v>6</v>
      </c>
      <c r="C19" s="241">
        <f t="shared" si="43"/>
        <v>42860</v>
      </c>
      <c r="D19" s="229">
        <f t="shared" si="34"/>
        <v>5</v>
      </c>
      <c r="E19" s="230" t="str">
        <f t="shared" si="35"/>
        <v>Lançamento</v>
      </c>
      <c r="F19" s="231">
        <f t="shared" si="2"/>
        <v>0</v>
      </c>
      <c r="G19" s="231">
        <f t="shared" si="3"/>
        <v>0</v>
      </c>
      <c r="H19" s="231">
        <f t="shared" si="4"/>
        <v>0</v>
      </c>
      <c r="I19" s="268">
        <f t="shared" si="5"/>
        <v>0</v>
      </c>
      <c r="J19" s="269">
        <f t="shared" si="6"/>
        <v>0</v>
      </c>
      <c r="K19" s="269">
        <f t="shared" si="36"/>
        <v>0</v>
      </c>
      <c r="L19" s="269">
        <f t="shared" si="7"/>
        <v>0</v>
      </c>
      <c r="M19" s="269">
        <f t="shared" si="8"/>
        <v>0</v>
      </c>
      <c r="N19" s="233">
        <f>VLOOKUP(B19,Dados!$L$86:$P$90,5)</f>
        <v>0</v>
      </c>
      <c r="O19" s="270">
        <f t="shared" si="37"/>
        <v>0</v>
      </c>
      <c r="P19" s="269">
        <f t="shared" si="9"/>
        <v>0</v>
      </c>
      <c r="Q19" s="269" t="e">
        <f t="shared" si="10"/>
        <v>#DIV/0!</v>
      </c>
      <c r="R19" s="269">
        <f t="shared" si="11"/>
        <v>0</v>
      </c>
      <c r="S19" s="269" t="e">
        <f t="shared" si="12"/>
        <v>#DIV/0!</v>
      </c>
      <c r="T19" s="269" t="e">
        <f t="shared" si="38"/>
        <v>#DIV/0!</v>
      </c>
      <c r="U19" s="234">
        <f t="shared" si="13"/>
        <v>0</v>
      </c>
      <c r="V19" s="232">
        <f t="shared" si="44"/>
        <v>0</v>
      </c>
      <c r="W19" s="269" t="e">
        <f t="shared" si="39"/>
        <v>#DIV/0!</v>
      </c>
      <c r="X19" s="235">
        <f t="shared" si="14"/>
        <v>0</v>
      </c>
      <c r="Y19" s="236">
        <f t="shared" si="15"/>
        <v>0</v>
      </c>
      <c r="Z19" s="236" t="e">
        <f t="shared" si="16"/>
        <v>#DIV/0!</v>
      </c>
      <c r="AA19" s="236">
        <f t="shared" si="17"/>
        <v>0</v>
      </c>
      <c r="AB19" s="236" t="e">
        <f t="shared" si="18"/>
        <v>#DIV/0!</v>
      </c>
      <c r="AC19" s="235" t="e">
        <f t="shared" si="19"/>
        <v>#DIV/0!</v>
      </c>
      <c r="AD19" s="235">
        <f t="shared" si="20"/>
        <v>0</v>
      </c>
      <c r="AE19" s="279" t="e">
        <f t="shared" si="40"/>
        <v>#DIV/0!</v>
      </c>
      <c r="AF19" s="232">
        <f t="shared" si="21"/>
        <v>0</v>
      </c>
      <c r="AG19" s="235">
        <f t="shared" si="22"/>
        <v>0</v>
      </c>
      <c r="AH19" s="269">
        <f t="shared" si="23"/>
        <v>0</v>
      </c>
      <c r="AI19" s="232">
        <f t="shared" si="24"/>
        <v>0</v>
      </c>
      <c r="AJ19" s="235">
        <f t="shared" si="25"/>
        <v>0</v>
      </c>
      <c r="AK19" s="269">
        <f t="shared" si="26"/>
        <v>0</v>
      </c>
      <c r="AL19" s="269">
        <f t="shared" si="27"/>
        <v>0</v>
      </c>
      <c r="AM19" s="281">
        <f>IF(B19&gt;=mpfo,pos*vvm*Dados!$E$122*(ntudv-SUM(U20:$U$301))-SUM($AM$13:AM18),0)</f>
        <v>0</v>
      </c>
      <c r="AN19" s="269" t="e">
        <f t="shared" si="41"/>
        <v>#DIV/0!</v>
      </c>
      <c r="AO19" s="232" t="e">
        <f t="shared" si="28"/>
        <v>#DIV/0!</v>
      </c>
      <c r="AP19" s="242" t="e">
        <f t="shared" si="45"/>
        <v>#DIV/0!</v>
      </c>
      <c r="AQ19" s="235" t="e">
        <f>IF(AP19+SUM($AQ$12:AQ18)&gt;=0,0,-AP19-SUM($AQ$12:AQ18))</f>
        <v>#DIV/0!</v>
      </c>
      <c r="AR19" s="235">
        <f>IF(SUM($N$13:N18)&gt;=pmo,IF(SUM(N18:$N$501)&gt;(1-pmo),B19,0),0)</f>
        <v>0</v>
      </c>
      <c r="AS19" s="235" t="e">
        <f>IF((SUM($U$13:$U18)/ntudv)&gt;=pmv,IF((SUM($U18:$U$501)/ntudv)&gt;(1-pmv),B19,0),0)</f>
        <v>#DIV/0!</v>
      </c>
      <c r="AT19" s="237" t="e">
        <f>IF(MAX(mmo,mmv)=mmo,IF(B19=AR19,(SUM(N$13:$N18)-pmo)/((1-VLOOKUP(MAX(mmo,mmv)-1,$B$13:$O$501,14))+(VLOOKUP(MAX(mmo,mmv)-1,$B$13:$O$501,14)-pmo)),N18/((1-VLOOKUP(MAX(mmo,mmv)-1,$B$13:$O$501,14)+(VLOOKUP(MAX(mmo,mmv)-1,$B$13:$O$501,14)-pmo)))),N18/(1-VLOOKUP(MAX(mmo,mmv)-2,$B$13:$O$501,14)))</f>
        <v>#DIV/0!</v>
      </c>
      <c r="AU19" s="101" t="e">
        <f t="shared" si="29"/>
        <v>#DIV/0!</v>
      </c>
      <c r="AV19" s="287" t="e">
        <f t="shared" si="30"/>
        <v>#DIV/0!</v>
      </c>
      <c r="AW19" s="235" t="e">
        <f t="shared" si="31"/>
        <v>#DIV/0!</v>
      </c>
      <c r="AX19" s="281">
        <f>IF(B19&gt;mpfo,0,IF(B19=mpfo,(vld-teo*(1+tcfo-incc)^(MAX(mmo,mmv)-mbfo))*-1,IF(SUM($N$13:N18)&gt;=pmo,IF(($V18/ntudv)&gt;=pmv,IF(B19=MAX(mmo,mmv),-teo*(1+tcfo-incc)^(B19-mbfo),0),0),0)))</f>
        <v>0</v>
      </c>
      <c r="AY19" s="292" t="e">
        <f t="shared" si="32"/>
        <v>#DIV/0!</v>
      </c>
      <c r="AZ19" s="235" t="e">
        <f t="shared" si="33"/>
        <v>#DIV/0!</v>
      </c>
      <c r="BA19" s="269" t="e">
        <f t="shared" si="42"/>
        <v>#DIV/0!</v>
      </c>
      <c r="BB19" s="292" t="e">
        <f t="shared" si="46"/>
        <v>#DIV/0!</v>
      </c>
      <c r="BC19" s="238" t="e">
        <f>IF(SUM($BC$13:BC18)&gt;0,0,IF(BB19&gt;0,B19,0))</f>
        <v>#DIV/0!</v>
      </c>
      <c r="BD19" s="292" t="e">
        <f>IF(BB19+SUM($BD$12:BD18)&gt;=0,0,-BB19-SUM($BD$12:BD18))</f>
        <v>#DIV/0!</v>
      </c>
      <c r="BE19" s="235" t="e">
        <f>BB19+SUM($BD$12:BD19)</f>
        <v>#DIV/0!</v>
      </c>
      <c r="BF19" s="292" t="e">
        <f>-MIN(BE19:$BE$501)-SUM(BF$12:$BF18)</f>
        <v>#DIV/0!</v>
      </c>
      <c r="BG19" s="235" t="e">
        <f t="shared" si="47"/>
        <v>#DIV/0!</v>
      </c>
    </row>
    <row r="20" spans="2:59">
      <c r="B20" s="246">
        <v>7</v>
      </c>
      <c r="C20" s="241">
        <f t="shared" si="43"/>
        <v>42891</v>
      </c>
      <c r="D20" s="229">
        <f t="shared" si="34"/>
        <v>6</v>
      </c>
      <c r="E20" s="230" t="str">
        <f t="shared" si="35"/>
        <v>-</v>
      </c>
      <c r="F20" s="231">
        <f t="shared" si="2"/>
        <v>0</v>
      </c>
      <c r="G20" s="231">
        <f t="shared" si="3"/>
        <v>0</v>
      </c>
      <c r="H20" s="231">
        <f t="shared" si="4"/>
        <v>0</v>
      </c>
      <c r="I20" s="268">
        <f t="shared" si="5"/>
        <v>0</v>
      </c>
      <c r="J20" s="269">
        <f t="shared" si="6"/>
        <v>0</v>
      </c>
      <c r="K20" s="269">
        <f t="shared" si="36"/>
        <v>0</v>
      </c>
      <c r="L20" s="269">
        <f t="shared" si="7"/>
        <v>0</v>
      </c>
      <c r="M20" s="269">
        <f t="shared" si="8"/>
        <v>0</v>
      </c>
      <c r="N20" s="233">
        <f>VLOOKUP(B20,Dados!$L$86:$P$90,5)</f>
        <v>0</v>
      </c>
      <c r="O20" s="270">
        <f t="shared" si="37"/>
        <v>0</v>
      </c>
      <c r="P20" s="269">
        <f t="shared" si="9"/>
        <v>0</v>
      </c>
      <c r="Q20" s="269" t="e">
        <f t="shared" si="10"/>
        <v>#DIV/0!</v>
      </c>
      <c r="R20" s="269">
        <f t="shared" si="11"/>
        <v>0</v>
      </c>
      <c r="S20" s="269" t="e">
        <f t="shared" si="12"/>
        <v>#DIV/0!</v>
      </c>
      <c r="T20" s="269" t="e">
        <f t="shared" si="38"/>
        <v>#DIV/0!</v>
      </c>
      <c r="U20" s="234">
        <f t="shared" si="13"/>
        <v>0</v>
      </c>
      <c r="V20" s="232">
        <f t="shared" si="44"/>
        <v>0</v>
      </c>
      <c r="W20" s="269" t="e">
        <f t="shared" si="39"/>
        <v>#DIV/0!</v>
      </c>
      <c r="X20" s="235">
        <f t="shared" si="14"/>
        <v>0</v>
      </c>
      <c r="Y20" s="236">
        <f t="shared" si="15"/>
        <v>0</v>
      </c>
      <c r="Z20" s="236" t="e">
        <f t="shared" si="16"/>
        <v>#DIV/0!</v>
      </c>
      <c r="AA20" s="236">
        <f t="shared" si="17"/>
        <v>0</v>
      </c>
      <c r="AB20" s="236" t="e">
        <f t="shared" si="18"/>
        <v>#DIV/0!</v>
      </c>
      <c r="AC20" s="235" t="e">
        <f t="shared" si="19"/>
        <v>#DIV/0!</v>
      </c>
      <c r="AD20" s="235">
        <f t="shared" si="20"/>
        <v>0</v>
      </c>
      <c r="AE20" s="279" t="e">
        <f t="shared" si="40"/>
        <v>#DIV/0!</v>
      </c>
      <c r="AF20" s="232">
        <f t="shared" si="21"/>
        <v>1</v>
      </c>
      <c r="AG20" s="235">
        <f t="shared" si="22"/>
        <v>0</v>
      </c>
      <c r="AH20" s="269">
        <f t="shared" si="23"/>
        <v>0</v>
      </c>
      <c r="AI20" s="232">
        <f t="shared" si="24"/>
        <v>0</v>
      </c>
      <c r="AJ20" s="235">
        <f t="shared" si="25"/>
        <v>0</v>
      </c>
      <c r="AK20" s="269">
        <f t="shared" si="26"/>
        <v>0</v>
      </c>
      <c r="AL20" s="269">
        <f t="shared" si="27"/>
        <v>0</v>
      </c>
      <c r="AM20" s="281">
        <f>IF(B20&gt;=mpfo,pos*vvm*Dados!$E$122*(ntudv-SUM(U21:$U$301))-SUM($AM$13:AM19),0)</f>
        <v>0</v>
      </c>
      <c r="AN20" s="269" t="e">
        <f t="shared" si="41"/>
        <v>#DIV/0!</v>
      </c>
      <c r="AO20" s="232" t="e">
        <f t="shared" si="28"/>
        <v>#DIV/0!</v>
      </c>
      <c r="AP20" s="242" t="e">
        <f t="shared" si="45"/>
        <v>#DIV/0!</v>
      </c>
      <c r="AQ20" s="235" t="e">
        <f>IF(AP20+SUM($AQ$12:AQ19)&gt;=0,0,-AP20-SUM($AQ$12:AQ19))</f>
        <v>#DIV/0!</v>
      </c>
      <c r="AR20" s="235">
        <f>IF(SUM($N$13:N19)&gt;=pmo,IF(SUM(N19:$N$501)&gt;(1-pmo),B20,0),0)</f>
        <v>0</v>
      </c>
      <c r="AS20" s="235" t="e">
        <f>IF((SUM($U$13:$U19)/ntudv)&gt;=pmv,IF((SUM($U19:$U$501)/ntudv)&gt;(1-pmv),B20,0),0)</f>
        <v>#DIV/0!</v>
      </c>
      <c r="AT20" s="237" t="e">
        <f>IF(MAX(mmo,mmv)=mmo,IF(B20=AR20,(SUM(N$13:$N19)-pmo)/((1-VLOOKUP(MAX(mmo,mmv)-1,$B$13:$O$501,14))+(VLOOKUP(MAX(mmo,mmv)-1,$B$13:$O$501,14)-pmo)),N19/((1-VLOOKUP(MAX(mmo,mmv)-1,$B$13:$O$501,14)+(VLOOKUP(MAX(mmo,mmv)-1,$B$13:$O$501,14)-pmo)))),N19/(1-VLOOKUP(MAX(mmo,mmv)-2,$B$13:$O$501,14)))</f>
        <v>#DIV/0!</v>
      </c>
      <c r="AU20" s="101" t="e">
        <f t="shared" si="29"/>
        <v>#DIV/0!</v>
      </c>
      <c r="AV20" s="287" t="e">
        <f t="shared" si="30"/>
        <v>#DIV/0!</v>
      </c>
      <c r="AW20" s="235" t="e">
        <f t="shared" si="31"/>
        <v>#DIV/0!</v>
      </c>
      <c r="AX20" s="281">
        <f>IF(B20&gt;mpfo,0,IF(B20=mpfo,(vld-teo*(1+tcfo-incc)^(MAX(mmo,mmv)-mbfo))*-1,IF(SUM($N$13:N19)&gt;=pmo,IF(($V19/ntudv)&gt;=pmv,IF(B20=MAX(mmo,mmv),-teo*(1+tcfo-incc)^(B20-mbfo),0),0),0)))</f>
        <v>0</v>
      </c>
      <c r="AY20" s="292" t="e">
        <f t="shared" si="32"/>
        <v>#DIV/0!</v>
      </c>
      <c r="AZ20" s="235" t="e">
        <f t="shared" si="33"/>
        <v>#DIV/0!</v>
      </c>
      <c r="BA20" s="269" t="e">
        <f t="shared" si="42"/>
        <v>#DIV/0!</v>
      </c>
      <c r="BB20" s="292" t="e">
        <f t="shared" si="46"/>
        <v>#DIV/0!</v>
      </c>
      <c r="BC20" s="238" t="e">
        <f>IF(SUM($BC$13:BC19)&gt;0,0,IF(BB20&gt;0,B20,0))</f>
        <v>#DIV/0!</v>
      </c>
      <c r="BD20" s="292" t="e">
        <f>IF(BB20+SUM($BD$12:BD19)&gt;=0,0,-BB20-SUM($BD$12:BD19))</f>
        <v>#DIV/0!</v>
      </c>
      <c r="BE20" s="235" t="e">
        <f>BB20+SUM($BD$12:BD20)</f>
        <v>#DIV/0!</v>
      </c>
      <c r="BF20" s="292" t="e">
        <f>-MIN(BE20:$BE$501)-SUM(BF$12:$BF19)</f>
        <v>#DIV/0!</v>
      </c>
      <c r="BG20" s="235" t="e">
        <f t="shared" si="47"/>
        <v>#DIV/0!</v>
      </c>
    </row>
    <row r="21" spans="2:59">
      <c r="B21" s="120">
        <v>8</v>
      </c>
      <c r="C21" s="241">
        <f t="shared" si="43"/>
        <v>42921</v>
      </c>
      <c r="D21" s="229">
        <f t="shared" si="34"/>
        <v>7</v>
      </c>
      <c r="E21" s="230" t="str">
        <f t="shared" si="35"/>
        <v>-</v>
      </c>
      <c r="F21" s="231">
        <f t="shared" si="2"/>
        <v>0</v>
      </c>
      <c r="G21" s="231">
        <f t="shared" si="3"/>
        <v>0</v>
      </c>
      <c r="H21" s="231">
        <f t="shared" si="4"/>
        <v>0</v>
      </c>
      <c r="I21" s="268">
        <f t="shared" si="5"/>
        <v>0</v>
      </c>
      <c r="J21" s="269">
        <f t="shared" si="6"/>
        <v>0</v>
      </c>
      <c r="K21" s="269">
        <f t="shared" si="36"/>
        <v>0</v>
      </c>
      <c r="L21" s="269">
        <f t="shared" si="7"/>
        <v>0</v>
      </c>
      <c r="M21" s="269">
        <f t="shared" si="8"/>
        <v>0</v>
      </c>
      <c r="N21" s="233">
        <f>VLOOKUP(B21,Dados!$L$86:$P$90,5)</f>
        <v>0</v>
      </c>
      <c r="O21" s="270">
        <f t="shared" si="37"/>
        <v>0</v>
      </c>
      <c r="P21" s="269">
        <f t="shared" si="9"/>
        <v>0</v>
      </c>
      <c r="Q21" s="269" t="e">
        <f t="shared" si="10"/>
        <v>#DIV/0!</v>
      </c>
      <c r="R21" s="269">
        <f t="shared" si="11"/>
        <v>0</v>
      </c>
      <c r="S21" s="269" t="e">
        <f t="shared" si="12"/>
        <v>#DIV/0!</v>
      </c>
      <c r="T21" s="269" t="e">
        <f t="shared" si="38"/>
        <v>#DIV/0!</v>
      </c>
      <c r="U21" s="234">
        <f t="shared" si="13"/>
        <v>0</v>
      </c>
      <c r="V21" s="232">
        <f t="shared" si="44"/>
        <v>0</v>
      </c>
      <c r="W21" s="269" t="e">
        <f t="shared" si="39"/>
        <v>#DIV/0!</v>
      </c>
      <c r="X21" s="235">
        <f t="shared" si="14"/>
        <v>0</v>
      </c>
      <c r="Y21" s="236">
        <f t="shared" si="15"/>
        <v>0</v>
      </c>
      <c r="Z21" s="236" t="e">
        <f t="shared" si="16"/>
        <v>#DIV/0!</v>
      </c>
      <c r="AA21" s="236">
        <f t="shared" si="17"/>
        <v>0</v>
      </c>
      <c r="AB21" s="236" t="e">
        <f t="shared" si="18"/>
        <v>#DIV/0!</v>
      </c>
      <c r="AC21" s="235" t="e">
        <f t="shared" si="19"/>
        <v>#DIV/0!</v>
      </c>
      <c r="AD21" s="235">
        <f t="shared" si="20"/>
        <v>0</v>
      </c>
      <c r="AE21" s="279" t="e">
        <f t="shared" si="40"/>
        <v>#DIV/0!</v>
      </c>
      <c r="AF21" s="232">
        <f t="shared" si="21"/>
        <v>0</v>
      </c>
      <c r="AG21" s="235">
        <f t="shared" si="22"/>
        <v>0</v>
      </c>
      <c r="AH21" s="269">
        <f t="shared" si="23"/>
        <v>0</v>
      </c>
      <c r="AI21" s="232">
        <f t="shared" si="24"/>
        <v>0</v>
      </c>
      <c r="AJ21" s="235">
        <f t="shared" si="25"/>
        <v>0</v>
      </c>
      <c r="AK21" s="269">
        <f t="shared" si="26"/>
        <v>0</v>
      </c>
      <c r="AL21" s="269">
        <f t="shared" si="27"/>
        <v>0</v>
      </c>
      <c r="AM21" s="281">
        <f>IF(B21&gt;=mpfo,pos*vvm*Dados!$E$122*(ntudv-SUM(U22:$U$301))-SUM($AM$13:AM20),0)</f>
        <v>0</v>
      </c>
      <c r="AN21" s="269" t="e">
        <f t="shared" si="41"/>
        <v>#DIV/0!</v>
      </c>
      <c r="AO21" s="232" t="e">
        <f t="shared" si="28"/>
        <v>#DIV/0!</v>
      </c>
      <c r="AP21" s="242" t="e">
        <f t="shared" si="45"/>
        <v>#DIV/0!</v>
      </c>
      <c r="AQ21" s="235" t="e">
        <f>IF(AP21+SUM($AQ$12:AQ20)&gt;=0,0,-AP21-SUM($AQ$12:AQ20))</f>
        <v>#DIV/0!</v>
      </c>
      <c r="AR21" s="235">
        <f>IF(SUM($N$13:N20)&gt;=pmo,IF(SUM(N20:$N$501)&gt;(1-pmo),B21,0),0)</f>
        <v>0</v>
      </c>
      <c r="AS21" s="235" t="e">
        <f>IF((SUM($U$13:$U20)/ntudv)&gt;=pmv,IF((SUM($U20:$U$501)/ntudv)&gt;(1-pmv),B21,0),0)</f>
        <v>#DIV/0!</v>
      </c>
      <c r="AT21" s="237" t="e">
        <f>IF(MAX(mmo,mmv)=mmo,IF(B21=AR21,(SUM(N$13:$N20)-pmo)/((1-VLOOKUP(MAX(mmo,mmv)-1,$B$13:$O$501,14))+(VLOOKUP(MAX(mmo,mmv)-1,$B$13:$O$501,14)-pmo)),N20/((1-VLOOKUP(MAX(mmo,mmv)-1,$B$13:$O$501,14)+(VLOOKUP(MAX(mmo,mmv)-1,$B$13:$O$501,14)-pmo)))),N20/(1-VLOOKUP(MAX(mmo,mmv)-2,$B$13:$O$501,14)))</f>
        <v>#DIV/0!</v>
      </c>
      <c r="AU21" s="101" t="e">
        <f t="shared" si="29"/>
        <v>#DIV/0!</v>
      </c>
      <c r="AV21" s="287" t="e">
        <f t="shared" si="30"/>
        <v>#DIV/0!</v>
      </c>
      <c r="AW21" s="235" t="e">
        <f t="shared" si="31"/>
        <v>#DIV/0!</v>
      </c>
      <c r="AX21" s="281">
        <f>IF(B21&gt;mpfo,0,IF(B21=mpfo,(vld-teo*(1+tcfo-incc)^(MAX(mmo,mmv)-mbfo))*-1,IF(SUM($N$13:N20)&gt;=pmo,IF(($V20/ntudv)&gt;=pmv,IF(B21=MAX(mmo,mmv),-teo*(1+tcfo-incc)^(B21-mbfo),0),0),0)))</f>
        <v>0</v>
      </c>
      <c r="AY21" s="292" t="e">
        <f t="shared" si="32"/>
        <v>#DIV/0!</v>
      </c>
      <c r="AZ21" s="235" t="e">
        <f t="shared" si="33"/>
        <v>#DIV/0!</v>
      </c>
      <c r="BA21" s="269" t="e">
        <f t="shared" si="42"/>
        <v>#DIV/0!</v>
      </c>
      <c r="BB21" s="292" t="e">
        <f t="shared" si="46"/>
        <v>#DIV/0!</v>
      </c>
      <c r="BC21" s="238" t="e">
        <f>IF(SUM($BC$13:BC20)&gt;0,0,IF(BB21&gt;0,B21,0))</f>
        <v>#DIV/0!</v>
      </c>
      <c r="BD21" s="292" t="e">
        <f>IF(BB21+SUM($BD$12:BD20)&gt;=0,0,-BB21-SUM($BD$12:BD20))</f>
        <v>#DIV/0!</v>
      </c>
      <c r="BE21" s="235" t="e">
        <f>BB21+SUM($BD$12:BD21)</f>
        <v>#DIV/0!</v>
      </c>
      <c r="BF21" s="292" t="e">
        <f>-MIN(BE21:$BE$501)-SUM(BF$12:$BF20)</f>
        <v>#DIV/0!</v>
      </c>
      <c r="BG21" s="235" t="e">
        <f t="shared" si="47"/>
        <v>#DIV/0!</v>
      </c>
    </row>
    <row r="22" spans="2:59">
      <c r="B22" s="246">
        <v>9</v>
      </c>
      <c r="C22" s="241">
        <f t="shared" si="43"/>
        <v>42952</v>
      </c>
      <c r="D22" s="229">
        <f t="shared" si="34"/>
        <v>8</v>
      </c>
      <c r="E22" s="230" t="str">
        <f t="shared" si="35"/>
        <v>-</v>
      </c>
      <c r="F22" s="231">
        <f t="shared" si="2"/>
        <v>0</v>
      </c>
      <c r="G22" s="231">
        <f t="shared" si="3"/>
        <v>0</v>
      </c>
      <c r="H22" s="231">
        <f t="shared" si="4"/>
        <v>0</v>
      </c>
      <c r="I22" s="268">
        <f t="shared" si="5"/>
        <v>0</v>
      </c>
      <c r="J22" s="269">
        <f t="shared" si="6"/>
        <v>0</v>
      </c>
      <c r="K22" s="269">
        <f t="shared" si="36"/>
        <v>0</v>
      </c>
      <c r="L22" s="269">
        <f t="shared" si="7"/>
        <v>0</v>
      </c>
      <c r="M22" s="269">
        <f t="shared" si="8"/>
        <v>0</v>
      </c>
      <c r="N22" s="233">
        <f>VLOOKUP(B22,Dados!$L$86:$P$90,5)</f>
        <v>0</v>
      </c>
      <c r="O22" s="270">
        <f t="shared" si="37"/>
        <v>0</v>
      </c>
      <c r="P22" s="269">
        <f t="shared" si="9"/>
        <v>0</v>
      </c>
      <c r="Q22" s="269" t="e">
        <f>AN22*pimp*-1</f>
        <v>#DIV/0!</v>
      </c>
      <c r="R22" s="269">
        <f t="shared" si="11"/>
        <v>0</v>
      </c>
      <c r="S22" s="269" t="e">
        <f t="shared" si="12"/>
        <v>#DIV/0!</v>
      </c>
      <c r="T22" s="269" t="e">
        <f t="shared" si="38"/>
        <v>#DIV/0!</v>
      </c>
      <c r="U22" s="234">
        <f t="shared" si="13"/>
        <v>0</v>
      </c>
      <c r="V22" s="232">
        <f t="shared" si="44"/>
        <v>0</v>
      </c>
      <c r="W22" s="269" t="e">
        <f t="shared" si="39"/>
        <v>#DIV/0!</v>
      </c>
      <c r="X22" s="235">
        <f t="shared" si="14"/>
        <v>0</v>
      </c>
      <c r="Y22" s="236">
        <f t="shared" si="15"/>
        <v>0</v>
      </c>
      <c r="Z22" s="236" t="e">
        <f t="shared" si="16"/>
        <v>#DIV/0!</v>
      </c>
      <c r="AA22" s="236">
        <f t="shared" si="17"/>
        <v>0</v>
      </c>
      <c r="AB22" s="236" t="e">
        <f t="shared" si="18"/>
        <v>#DIV/0!</v>
      </c>
      <c r="AC22" s="235" t="e">
        <f t="shared" si="19"/>
        <v>#DIV/0!</v>
      </c>
      <c r="AD22" s="235">
        <f t="shared" si="20"/>
        <v>0</v>
      </c>
      <c r="AE22" s="279" t="e">
        <f t="shared" si="40"/>
        <v>#DIV/0!</v>
      </c>
      <c r="AF22" s="232">
        <f t="shared" si="21"/>
        <v>0</v>
      </c>
      <c r="AG22" s="235">
        <f t="shared" si="22"/>
        <v>0</v>
      </c>
      <c r="AH22" s="269">
        <f t="shared" si="23"/>
        <v>0</v>
      </c>
      <c r="AI22" s="232">
        <f t="shared" si="24"/>
        <v>0</v>
      </c>
      <c r="AJ22" s="235">
        <f t="shared" si="25"/>
        <v>0</v>
      </c>
      <c r="AK22" s="269">
        <f t="shared" si="26"/>
        <v>0</v>
      </c>
      <c r="AL22" s="269">
        <f t="shared" si="27"/>
        <v>0</v>
      </c>
      <c r="AM22" s="281">
        <f>IF(B22&gt;=mpfo,pos*vvm*Dados!$E$122*(ntudv-SUM(U23:$U$301))-SUM($AM$13:AM21),0)</f>
        <v>0</v>
      </c>
      <c r="AN22" s="269" t="e">
        <f t="shared" si="41"/>
        <v>#DIV/0!</v>
      </c>
      <c r="AO22" s="232" t="e">
        <f t="shared" si="28"/>
        <v>#DIV/0!</v>
      </c>
      <c r="AP22" s="242" t="e">
        <f t="shared" si="45"/>
        <v>#DIV/0!</v>
      </c>
      <c r="AQ22" s="235" t="e">
        <f>IF(AP22+SUM($AQ$12:AQ21)&gt;=0,0,-AP22-SUM($AQ$12:AQ21))</f>
        <v>#DIV/0!</v>
      </c>
      <c r="AR22" s="235">
        <f>IF(SUM($N$13:N21)&gt;=pmo,IF(SUM(N21:$N$501)&gt;(1-pmo),B22,0),0)</f>
        <v>0</v>
      </c>
      <c r="AS22" s="235" t="e">
        <f>IF((SUM($U$13:$U21)/ntudv)&gt;=pmv,IF((SUM($U21:$U$501)/ntudv)&gt;(1-pmv),B22,0),0)</f>
        <v>#DIV/0!</v>
      </c>
      <c r="AT22" s="237" t="e">
        <f>IF(MAX(mmo,mmv)=mmo,IF(B22=AR22,(SUM(N$13:$N21)-pmo)/((1-VLOOKUP(MAX(mmo,mmv)-1,$B$13:$O$501,14))+(VLOOKUP(MAX(mmo,mmv)-1,$B$13:$O$501,14)-pmo)),N21/((1-VLOOKUP(MAX(mmo,mmv)-1,$B$13:$O$501,14)+(VLOOKUP(MAX(mmo,mmv)-1,$B$13:$O$501,14)-pmo)))),N21/(1-VLOOKUP(MAX(mmo,mmv)-2,$B$13:$O$501,14)))</f>
        <v>#DIV/0!</v>
      </c>
      <c r="AU22" s="101" t="e">
        <f t="shared" si="29"/>
        <v>#DIV/0!</v>
      </c>
      <c r="AV22" s="287" t="e">
        <f t="shared" si="30"/>
        <v>#DIV/0!</v>
      </c>
      <c r="AW22" s="235" t="e">
        <f t="shared" si="31"/>
        <v>#DIV/0!</v>
      </c>
      <c r="AX22" s="281">
        <f>IF(B22&gt;mpfo,0,IF(B22=mpfo,(vld-teo*(1+tcfo-incc)^(MAX(mmo,mmv)-mbfo))*-1,IF(SUM($N$13:N21)&gt;=pmo,IF(($V21/ntudv)&gt;=pmv,IF(B22=MAX(mmo,mmv),-teo*(1+tcfo-incc)^(B22-mbfo),0),0),0)))</f>
        <v>0</v>
      </c>
      <c r="AY22" s="292" t="e">
        <f t="shared" si="32"/>
        <v>#DIV/0!</v>
      </c>
      <c r="AZ22" s="235" t="e">
        <f t="shared" si="33"/>
        <v>#DIV/0!</v>
      </c>
      <c r="BA22" s="269" t="e">
        <f t="shared" si="42"/>
        <v>#DIV/0!</v>
      </c>
      <c r="BB22" s="292" t="e">
        <f t="shared" si="46"/>
        <v>#DIV/0!</v>
      </c>
      <c r="BC22" s="238" t="e">
        <f>IF(SUM($BC$13:BC21)&gt;0,0,IF(BB22&gt;0,B22,0))</f>
        <v>#DIV/0!</v>
      </c>
      <c r="BD22" s="292" t="e">
        <f>IF(BB22+SUM($BD$12:BD21)&gt;=0,0,-BB22-SUM($BD$12:BD21))</f>
        <v>#DIV/0!</v>
      </c>
      <c r="BE22" s="235" t="e">
        <f>BB22+SUM($BD$12:BD22)</f>
        <v>#DIV/0!</v>
      </c>
      <c r="BF22" s="292" t="e">
        <f>-MIN(BE22:$BE$501)-SUM(BF$12:$BF21)</f>
        <v>#DIV/0!</v>
      </c>
      <c r="BG22" s="235" t="e">
        <f t="shared" si="47"/>
        <v>#DIV/0!</v>
      </c>
    </row>
    <row r="23" spans="2:59">
      <c r="B23" s="120">
        <v>10</v>
      </c>
      <c r="C23" s="241">
        <f t="shared" si="43"/>
        <v>42983</v>
      </c>
      <c r="D23" s="229">
        <f t="shared" si="34"/>
        <v>9</v>
      </c>
      <c r="E23" s="230" t="str">
        <f t="shared" si="35"/>
        <v>-</v>
      </c>
      <c r="F23" s="231">
        <f t="shared" si="2"/>
        <v>0</v>
      </c>
      <c r="G23" s="231">
        <f t="shared" si="3"/>
        <v>0</v>
      </c>
      <c r="H23" s="231">
        <f t="shared" si="4"/>
        <v>0</v>
      </c>
      <c r="I23" s="268">
        <f t="shared" si="5"/>
        <v>0</v>
      </c>
      <c r="J23" s="269">
        <f t="shared" si="6"/>
        <v>0</v>
      </c>
      <c r="K23" s="269">
        <f t="shared" si="36"/>
        <v>0</v>
      </c>
      <c r="L23" s="269">
        <f t="shared" si="7"/>
        <v>0</v>
      </c>
      <c r="M23" s="269">
        <f t="shared" si="8"/>
        <v>0</v>
      </c>
      <c r="N23" s="233">
        <f>VLOOKUP(B23,Dados!$L$86:$P$90,5)</f>
        <v>0</v>
      </c>
      <c r="O23" s="270">
        <f t="shared" si="37"/>
        <v>0</v>
      </c>
      <c r="P23" s="269">
        <f t="shared" si="9"/>
        <v>0</v>
      </c>
      <c r="Q23" s="269" t="e">
        <f t="shared" si="10"/>
        <v>#DIV/0!</v>
      </c>
      <c r="R23" s="269">
        <f t="shared" si="11"/>
        <v>0</v>
      </c>
      <c r="S23" s="269" t="e">
        <f t="shared" si="12"/>
        <v>#DIV/0!</v>
      </c>
      <c r="T23" s="269" t="e">
        <f t="shared" si="38"/>
        <v>#DIV/0!</v>
      </c>
      <c r="U23" s="234">
        <f t="shared" si="13"/>
        <v>0</v>
      </c>
      <c r="V23" s="232">
        <f t="shared" si="44"/>
        <v>0</v>
      </c>
      <c r="W23" s="269" t="e">
        <f t="shared" si="39"/>
        <v>#DIV/0!</v>
      </c>
      <c r="X23" s="235">
        <f t="shared" si="14"/>
        <v>0</v>
      </c>
      <c r="Y23" s="236">
        <f t="shared" si="15"/>
        <v>0</v>
      </c>
      <c r="Z23" s="236" t="e">
        <f t="shared" si="16"/>
        <v>#DIV/0!</v>
      </c>
      <c r="AA23" s="236">
        <f t="shared" si="17"/>
        <v>0</v>
      </c>
      <c r="AB23" s="236" t="e">
        <f t="shared" si="18"/>
        <v>#DIV/0!</v>
      </c>
      <c r="AC23" s="235" t="e">
        <f t="shared" si="19"/>
        <v>#DIV/0!</v>
      </c>
      <c r="AD23" s="235">
        <f t="shared" si="20"/>
        <v>0</v>
      </c>
      <c r="AE23" s="279" t="e">
        <f t="shared" si="40"/>
        <v>#DIV/0!</v>
      </c>
      <c r="AF23" s="232">
        <f t="shared" si="21"/>
        <v>0</v>
      </c>
      <c r="AG23" s="235">
        <f t="shared" si="22"/>
        <v>0</v>
      </c>
      <c r="AH23" s="269">
        <f t="shared" si="23"/>
        <v>0</v>
      </c>
      <c r="AI23" s="232">
        <f t="shared" si="24"/>
        <v>0</v>
      </c>
      <c r="AJ23" s="235">
        <f t="shared" si="25"/>
        <v>0</v>
      </c>
      <c r="AK23" s="269">
        <f t="shared" si="26"/>
        <v>0</v>
      </c>
      <c r="AL23" s="269">
        <f t="shared" si="27"/>
        <v>0</v>
      </c>
      <c r="AM23" s="281">
        <f>IF(B23&gt;=mpfo,pos*vvm*Dados!$E$122*(ntudv-SUM(U24:$U$301))-SUM($AM$13:AM22),0)</f>
        <v>0</v>
      </c>
      <c r="AN23" s="269" t="e">
        <f t="shared" si="41"/>
        <v>#DIV/0!</v>
      </c>
      <c r="AO23" s="232" t="e">
        <f t="shared" si="28"/>
        <v>#DIV/0!</v>
      </c>
      <c r="AP23" s="242" t="e">
        <f t="shared" si="45"/>
        <v>#DIV/0!</v>
      </c>
      <c r="AQ23" s="235" t="e">
        <f>IF(AP23+SUM($AQ$12:AQ22)&gt;=0,0,-AP23-SUM($AQ$12:AQ22))</f>
        <v>#DIV/0!</v>
      </c>
      <c r="AR23" s="235">
        <f>IF(SUM($N$13:N22)&gt;=pmo,IF(SUM(N22:$N$501)&gt;(1-pmo),B23,0),0)</f>
        <v>0</v>
      </c>
      <c r="AS23" s="235" t="e">
        <f>IF((SUM($U$13:$U22)/ntudv)&gt;=pmv,IF((SUM($U22:$U$501)/ntudv)&gt;(1-pmv),B23,0),0)</f>
        <v>#DIV/0!</v>
      </c>
      <c r="AT23" s="237" t="e">
        <f>IF(MAX(mmo,mmv)=mmo,IF(B23=AR23,(SUM(N$13:$N22)-pmo)/((1-VLOOKUP(MAX(mmo,mmv)-1,$B$13:$O$501,14))+(VLOOKUP(MAX(mmo,mmv)-1,$B$13:$O$501,14)-pmo)),N22/((1-VLOOKUP(MAX(mmo,mmv)-1,$B$13:$O$501,14)+(VLOOKUP(MAX(mmo,mmv)-1,$B$13:$O$501,14)-pmo)))),N22/(1-VLOOKUP(MAX(mmo,mmv)-2,$B$13:$O$501,14)))</f>
        <v>#DIV/0!</v>
      </c>
      <c r="AU23" s="101" t="e">
        <f t="shared" si="29"/>
        <v>#DIV/0!</v>
      </c>
      <c r="AV23" s="287" t="e">
        <f t="shared" si="30"/>
        <v>#DIV/0!</v>
      </c>
      <c r="AW23" s="235" t="e">
        <f t="shared" si="31"/>
        <v>#DIV/0!</v>
      </c>
      <c r="AX23" s="281">
        <f>IF(B23&gt;mpfo,0,IF(B23=mpfo,(vld-teo*(1+tcfo-incc)^(MAX(mmo,mmv)-mbfo))*-1,IF(SUM($N$13:N22)&gt;=pmo,IF(($V22/ntudv)&gt;=pmv,IF(B23=MAX(mmo,mmv),-teo*(1+tcfo-incc)^(B23-mbfo),0),0),0)))</f>
        <v>0</v>
      </c>
      <c r="AY23" s="292" t="e">
        <f t="shared" si="32"/>
        <v>#DIV/0!</v>
      </c>
      <c r="AZ23" s="235" t="e">
        <f t="shared" si="33"/>
        <v>#DIV/0!</v>
      </c>
      <c r="BA23" s="269" t="e">
        <f t="shared" si="42"/>
        <v>#DIV/0!</v>
      </c>
      <c r="BB23" s="292" t="e">
        <f t="shared" si="46"/>
        <v>#DIV/0!</v>
      </c>
      <c r="BC23" s="238" t="e">
        <f>IF(SUM($BC$13:BC22)&gt;0,0,IF(BB23&gt;0,B23,0))</f>
        <v>#DIV/0!</v>
      </c>
      <c r="BD23" s="292" t="e">
        <f>IF(BB23+SUM($BD$12:BD22)&gt;=0,0,-BB23-SUM($BD$12:BD22))</f>
        <v>#DIV/0!</v>
      </c>
      <c r="BE23" s="235" t="e">
        <f>BB23+SUM($BD$12:BD23)</f>
        <v>#DIV/0!</v>
      </c>
      <c r="BF23" s="292" t="e">
        <f>-MIN(BE23:$BE$501)-SUM(BF$12:$BF22)</f>
        <v>#DIV/0!</v>
      </c>
      <c r="BG23" s="235" t="e">
        <f t="shared" si="47"/>
        <v>#DIV/0!</v>
      </c>
    </row>
    <row r="24" spans="2:59">
      <c r="B24" s="246">
        <v>11</v>
      </c>
      <c r="C24" s="241">
        <f t="shared" si="43"/>
        <v>43013</v>
      </c>
      <c r="D24" s="229">
        <f t="shared" ref="D24:D87" si="48">MONTH(C24)</f>
        <v>10</v>
      </c>
      <c r="E24" s="230" t="str">
        <f t="shared" ref="E24:E87" si="49">IF(B24=mpo,"Outorga",IF(B24=mpt,"Terreno",IF(B24=mlan,"Lançamento", IF(B24=mio,"Inic. Obras",IF(B24=mio+prazo-1,"Concl. Obras",IF(B24=mec,"Chaves", IF(B24=mpfo,"Pgto. Financ.","-")))))))</f>
        <v>-</v>
      </c>
      <c r="F24" s="231">
        <f t="shared" ref="F24:F87" si="50">IF(B24=mpo, voo,0)</f>
        <v>0</v>
      </c>
      <c r="G24" s="231">
        <f t="shared" ref="G24:G87" si="51">IF(B24&gt;(mpt+npt),0,IF(B24&lt;(mpt+npt+1),IF(B24&gt;mpt,(vtd-vst)/npt/(igpm+1)^B24,IF(B24=mpt,vst/(igpm+1)^B24,0))))</f>
        <v>0</v>
      </c>
      <c r="H24" s="231">
        <f t="shared" ref="H24:H87" si="52">IF(B24&gt;(mpt+npt),0,IF(B24&lt;(mpt+npt+1),IF(B24&gt;mpt,(vtd-vst)/npt/(delta+1)^B24,IF(B24=mpt,vst/(delta+1)^B24,0))))</f>
        <v>0</v>
      </c>
      <c r="I24" s="268">
        <f t="shared" si="5"/>
        <v>0</v>
      </c>
      <c r="J24" s="269">
        <f t="shared" ref="J24:J87" si="53">IF(B24=mpdt,dtt,0)*-1</f>
        <v>0</v>
      </c>
      <c r="K24" s="269">
        <f t="shared" ref="K24:K87" si="54">IF(B24&gt;mdji+npdji,0,IF(B24&lt;mdji+npdji,IF(B24&gt;=mdji,dji*vgv/npdji,0),0))*-1</f>
        <v>0</v>
      </c>
      <c r="L24" s="269">
        <f t="shared" si="7"/>
        <v>0</v>
      </c>
      <c r="M24" s="269">
        <f t="shared" si="8"/>
        <v>0</v>
      </c>
      <c r="N24" s="233">
        <f>VLOOKUP(B24,Dados!$L$86:$P$90,5)</f>
        <v>0</v>
      </c>
      <c r="O24" s="270">
        <f t="shared" ref="O24:O87" si="55">N24+O23</f>
        <v>0</v>
      </c>
      <c r="P24" s="269">
        <f t="shared" ref="P24:P87" si="56">N24*cto*-1</f>
        <v>0</v>
      </c>
      <c r="Q24" s="269" t="e">
        <f t="shared" ref="Q24:Q87" si="57">AN24*pimp*-1</f>
        <v>#DIV/0!</v>
      </c>
      <c r="R24" s="269">
        <f t="shared" ref="R24:R87" si="58">IF(B24&gt;=1,IF(B24&lt;=(mec+6),padm*vgv/(mec+6),0),0)*-1</f>
        <v>0</v>
      </c>
      <c r="S24" s="269" t="e">
        <f t="shared" ref="S24:S87" si="59">U24*vvm*pcorr*-1</f>
        <v>#DIV/0!</v>
      </c>
      <c r="T24" s="269" t="e">
        <f t="shared" si="38"/>
        <v>#DIV/0!</v>
      </c>
      <c r="U24" s="234">
        <f t="shared" ref="U24:U87" si="60">VLOOKUP(B24,tabvv,4)</f>
        <v>0</v>
      </c>
      <c r="V24" s="232">
        <f t="shared" ref="V24:V87" si="61">V23+U24</f>
        <v>0</v>
      </c>
      <c r="W24" s="269" t="e">
        <f t="shared" ref="W24:W87" si="62">U24*vvm*sinal+X24+Z24+AB24</f>
        <v>#DIV/0!</v>
      </c>
      <c r="X24" s="235">
        <f t="shared" si="14"/>
        <v>0</v>
      </c>
      <c r="Y24" s="236">
        <f t="shared" ref="Y24:Y87" si="63">IF($B24&gt;mlan+5,IF($B24&lt;=mco,Y23+$AF23,+Y23),0)</f>
        <v>0</v>
      </c>
      <c r="Z24" s="236" t="e">
        <f t="shared" ref="Z24:Z87" si="64">Y24*vvm*sem*U24/npse</f>
        <v>#DIV/0!</v>
      </c>
      <c r="AA24" s="236">
        <f t="shared" ref="AA24:AA87" si="65">IF($B24&gt;mlan+5,IF($B24&lt;=mco,AA23+$AI23,+AA23),0)</f>
        <v>0</v>
      </c>
      <c r="AB24" s="236" t="e">
        <f t="shared" ref="AB24:AB87" si="66">AA24*vvm*anu*U24/npa</f>
        <v>#DIV/0!</v>
      </c>
      <c r="AC24" s="235" t="e">
        <f t="shared" ref="AC24:AC87" si="67">IF(B24&gt;=mec,0,V23*mdo*vvm/npm)</f>
        <v>#DIV/0!</v>
      </c>
      <c r="AD24" s="235">
        <f t="shared" ref="AD24:AD87" si="68">IF(B24&gt;mec,IF(B24&lt;=mec+npfd,pmtfd*nufd,0),0)</f>
        <v>0</v>
      </c>
      <c r="AE24" s="279" t="e">
        <f t="shared" ref="AE24:AE87" si="69">AD24+AC24</f>
        <v>#DIV/0!</v>
      </c>
      <c r="AF24" s="232">
        <f t="shared" ref="AF24:AF87" si="70">IF(D24=6,1,IF(D24=12,1,0))</f>
        <v>0</v>
      </c>
      <c r="AG24" s="235">
        <f t="shared" ref="AG24:AG87" si="71">IF($B24&gt;mlan+5,IF($B24&lt;=mco,$AG23+$AF24,0),0)</f>
        <v>0</v>
      </c>
      <c r="AH24" s="269" t="e">
        <f t="shared" ref="AH24:AH87" si="72">IF(B24&gt;=mlan+5,IF(B24&lt;=mco,V24*vvm*sem*AF24/npse,0),0)</f>
        <v>#DIV/0!</v>
      </c>
      <c r="AI24" s="232">
        <f t="shared" ref="AI24:AI87" si="73">IF(D24=12,1,0)</f>
        <v>0</v>
      </c>
      <c r="AJ24" s="235">
        <f t="shared" ref="AJ24:AJ87" si="74">IF(B23&gt;=mlan+5,IF(B23&lt;mco,AJ23+AI24,0),0)</f>
        <v>0</v>
      </c>
      <c r="AK24" s="269" t="e">
        <f t="shared" ref="AK24:AK87" si="75">IF(B24&lt;=mco,IF(B24&gt;=mlan+5,V24*vvm*anu/npa*AI24,0),0)</f>
        <v>#DIV/0!</v>
      </c>
      <c r="AL24" s="269">
        <f t="shared" si="27"/>
        <v>0</v>
      </c>
      <c r="AM24" s="281">
        <f>IF(B24&gt;=mpfo,pos*vvm*Dados!$E$122*(ntudv-SUM(U25:$U$301))-SUM($AM$13:AM23),0)</f>
        <v>0</v>
      </c>
      <c r="AN24" s="269" t="e">
        <f t="shared" ref="AN24:AN87" si="76">AL24+AK24+AH24+AE24+W24+AM24</f>
        <v>#DIV/0!</v>
      </c>
      <c r="AO24" s="232" t="e">
        <f t="shared" ref="AO24:AO87" si="77">AN24+T24</f>
        <v>#DIV/0!</v>
      </c>
      <c r="AP24" s="242" t="e">
        <f t="shared" ref="AP24:AP87" si="78">AP23+AO24</f>
        <v>#DIV/0!</v>
      </c>
      <c r="AQ24" s="235" t="e">
        <f>IF(AP24+SUM($AQ$12:AQ23)&gt;=0,0,-AP24-SUM($AQ$12:AQ23))</f>
        <v>#DIV/0!</v>
      </c>
      <c r="AR24" s="235">
        <f>IF(SUM($N$13:N23)&gt;=pmo,IF(SUM(N23:$N$501)&gt;(1-pmo),B24,0),0)</f>
        <v>0</v>
      </c>
      <c r="AS24" s="235" t="e">
        <f>IF((SUM($U$13:$U23)/ntudv)&gt;=pmv,IF((SUM($U23:$U$501)/ntudv)&gt;(1-pmv),B24,0),0)</f>
        <v>#DIV/0!</v>
      </c>
      <c r="AT24" s="237" t="e">
        <f>IF(MAX(mmo,mmv)=mmo,IF(B24=AR24,(SUM(N$13:$N23)-pmo)/((1-VLOOKUP(MAX(mmo,mmv)-1,$B$13:$O$501,14))+(VLOOKUP(MAX(mmo,mmv)-1,$B$13:$O$501,14)-pmo)),N23/((1-VLOOKUP(MAX(mmo,mmv)-1,$B$13:$O$501,14)+(VLOOKUP(MAX(mmo,mmv)-1,$B$13:$O$501,14)-pmo)))),N23/(1-VLOOKUP(MAX(mmo,mmv)-2,$B$13:$O$501,14)))</f>
        <v>#DIV/0!</v>
      </c>
      <c r="AU24" s="101" t="e">
        <f t="shared" si="29"/>
        <v>#DIV/0!</v>
      </c>
      <c r="AV24" s="287" t="e">
        <f t="shared" si="30"/>
        <v>#DIV/0!</v>
      </c>
      <c r="AW24" s="235" t="e">
        <f t="shared" ref="AW24:AW87" si="79">AV24+AZ23*(1+jfo)</f>
        <v>#DIV/0!</v>
      </c>
      <c r="AX24" s="281">
        <f>IF(B24&gt;mpfo,0,IF(B24=mpfo,(vld-teo*(1+tcfo-incc)^(MAX(mmo,mmv)-mbfo))*-1,IF(SUM($N$13:N23)&gt;=pmo,IF(($V23/ntudv)&gt;=pmv,IF(B24=MAX(mmo,mmv),-teo*(1+tcfo-incc)^(B24-mbfo),0),0),0)))</f>
        <v>0</v>
      </c>
      <c r="AY24" s="292" t="e">
        <f t="shared" si="32"/>
        <v>#DIV/0!</v>
      </c>
      <c r="AZ24" s="235" t="e">
        <f t="shared" ref="AZ24:AZ87" si="80">AW24+AX24+AY24</f>
        <v>#DIV/0!</v>
      </c>
      <c r="BA24" s="269" t="e">
        <f t="shared" ref="BA24:BA87" si="81">AO24+AV24+AX24+AY24</f>
        <v>#DIV/0!</v>
      </c>
      <c r="BB24" s="292" t="e">
        <f t="shared" ref="BB24:BB87" si="82">BB23+BA24</f>
        <v>#DIV/0!</v>
      </c>
      <c r="BC24" s="238" t="e">
        <f>IF(SUM($BC$13:BC23)&gt;0,0,IF(BB24&gt;0,B24,0))</f>
        <v>#DIV/0!</v>
      </c>
      <c r="BD24" s="292" t="e">
        <f>IF(BB24+SUM($BD$12:BD23)&gt;=0,0,-BB24-SUM($BD$12:BD23))</f>
        <v>#DIV/0!</v>
      </c>
      <c r="BE24" s="235" t="e">
        <f>BB24+SUM($BD$12:BD24)</f>
        <v>#DIV/0!</v>
      </c>
      <c r="BF24" s="292" t="e">
        <f>-MIN(BE24:$BE$501)-SUM(BF$12:$BF23)</f>
        <v>#DIV/0!</v>
      </c>
      <c r="BG24" s="235" t="e">
        <f t="shared" si="47"/>
        <v>#DIV/0!</v>
      </c>
    </row>
    <row r="25" spans="2:59">
      <c r="B25" s="120">
        <v>12</v>
      </c>
      <c r="C25" s="241">
        <f t="shared" si="43"/>
        <v>43044</v>
      </c>
      <c r="D25" s="229">
        <f t="shared" si="48"/>
        <v>11</v>
      </c>
      <c r="E25" s="230" t="str">
        <f t="shared" si="49"/>
        <v>-</v>
      </c>
      <c r="F25" s="231">
        <f t="shared" si="50"/>
        <v>0</v>
      </c>
      <c r="G25" s="231">
        <f t="shared" si="51"/>
        <v>0</v>
      </c>
      <c r="H25" s="231">
        <f t="shared" si="52"/>
        <v>0</v>
      </c>
      <c r="I25" s="268">
        <f t="shared" si="5"/>
        <v>0</v>
      </c>
      <c r="J25" s="269">
        <f t="shared" si="53"/>
        <v>0</v>
      </c>
      <c r="K25" s="269">
        <f t="shared" si="54"/>
        <v>0</v>
      </c>
      <c r="L25" s="269">
        <f t="shared" si="7"/>
        <v>0</v>
      </c>
      <c r="M25" s="269">
        <f t="shared" si="8"/>
        <v>0</v>
      </c>
      <c r="N25" s="233">
        <f>VLOOKUP(B25,Dados!$L$86:$P$90,5)</f>
        <v>0</v>
      </c>
      <c r="O25" s="270">
        <f t="shared" si="55"/>
        <v>0</v>
      </c>
      <c r="P25" s="269">
        <f t="shared" si="56"/>
        <v>0</v>
      </c>
      <c r="Q25" s="269" t="e">
        <f t="shared" si="57"/>
        <v>#DIV/0!</v>
      </c>
      <c r="R25" s="269">
        <f t="shared" si="58"/>
        <v>0</v>
      </c>
      <c r="S25" s="269" t="e">
        <f t="shared" si="59"/>
        <v>#DIV/0!</v>
      </c>
      <c r="T25" s="269" t="e">
        <f t="shared" si="38"/>
        <v>#DIV/0!</v>
      </c>
      <c r="U25" s="234">
        <f t="shared" si="60"/>
        <v>0</v>
      </c>
      <c r="V25" s="232">
        <f t="shared" si="61"/>
        <v>0</v>
      </c>
      <c r="W25" s="269" t="e">
        <f t="shared" si="62"/>
        <v>#DIV/0!</v>
      </c>
      <c r="X25" s="235">
        <f t="shared" si="14"/>
        <v>0</v>
      </c>
      <c r="Y25" s="236">
        <f t="shared" si="63"/>
        <v>0</v>
      </c>
      <c r="Z25" s="236" t="e">
        <f t="shared" si="64"/>
        <v>#DIV/0!</v>
      </c>
      <c r="AA25" s="236">
        <f t="shared" si="65"/>
        <v>0</v>
      </c>
      <c r="AB25" s="236" t="e">
        <f t="shared" si="66"/>
        <v>#DIV/0!</v>
      </c>
      <c r="AC25" s="235" t="e">
        <f t="shared" si="67"/>
        <v>#DIV/0!</v>
      </c>
      <c r="AD25" s="235">
        <f t="shared" si="68"/>
        <v>0</v>
      </c>
      <c r="AE25" s="279" t="e">
        <f t="shared" si="69"/>
        <v>#DIV/0!</v>
      </c>
      <c r="AF25" s="232">
        <f t="shared" si="70"/>
        <v>0</v>
      </c>
      <c r="AG25" s="235">
        <f t="shared" si="71"/>
        <v>0</v>
      </c>
      <c r="AH25" s="269" t="e">
        <f t="shared" si="72"/>
        <v>#DIV/0!</v>
      </c>
      <c r="AI25" s="232">
        <f t="shared" si="73"/>
        <v>0</v>
      </c>
      <c r="AJ25" s="235">
        <f t="shared" si="74"/>
        <v>0</v>
      </c>
      <c r="AK25" s="269" t="e">
        <f t="shared" si="75"/>
        <v>#DIV/0!</v>
      </c>
      <c r="AL25" s="269">
        <f t="shared" si="27"/>
        <v>0</v>
      </c>
      <c r="AM25" s="281">
        <f>IF(B25&gt;=mpfo,pos*vvm*Dados!$E$122*(ntudv-SUM(U26:$U$301))-SUM($AM$13:AM24),0)</f>
        <v>0</v>
      </c>
      <c r="AN25" s="269" t="e">
        <f t="shared" si="76"/>
        <v>#DIV/0!</v>
      </c>
      <c r="AO25" s="232" t="e">
        <f t="shared" si="77"/>
        <v>#DIV/0!</v>
      </c>
      <c r="AP25" s="242" t="e">
        <f t="shared" si="78"/>
        <v>#DIV/0!</v>
      </c>
      <c r="AQ25" s="235" t="e">
        <f>IF(AP25+SUM($AQ$12:AQ24)&gt;=0,0,-AP25-SUM($AQ$12:AQ24))</f>
        <v>#DIV/0!</v>
      </c>
      <c r="AR25" s="235">
        <f>IF(SUM($N$13:N24)&gt;=pmo,IF(SUM(N24:$N$501)&gt;(1-pmo),B25,0),0)</f>
        <v>0</v>
      </c>
      <c r="AS25" s="235" t="e">
        <f>IF((SUM($U$13:$U24)/ntudv)&gt;=pmv,IF((SUM($U24:$U$501)/ntudv)&gt;(1-pmv),B25,0),0)</f>
        <v>#DIV/0!</v>
      </c>
      <c r="AT25" s="237" t="e">
        <f>IF(MAX(mmo,mmv)=mmo,IF(B25=AR25,(SUM(N$13:$N24)-pmo)/((1-VLOOKUP(MAX(mmo,mmv)-1,$B$13:$O$501,14))+(VLOOKUP(MAX(mmo,mmv)-1,$B$13:$O$501,14)-pmo)),N24/((1-VLOOKUP(MAX(mmo,mmv)-1,$B$13:$O$501,14)+(VLOOKUP(MAX(mmo,mmv)-1,$B$13:$O$501,14)-pmo)))),N24/(1-VLOOKUP(MAX(mmo,mmv)-2,$B$13:$O$501,14)))</f>
        <v>#DIV/0!</v>
      </c>
      <c r="AU25" s="101" t="e">
        <f t="shared" si="29"/>
        <v>#DIV/0!</v>
      </c>
      <c r="AV25" s="287" t="e">
        <f t="shared" si="30"/>
        <v>#DIV/0!</v>
      </c>
      <c r="AW25" s="235" t="e">
        <f t="shared" si="79"/>
        <v>#DIV/0!</v>
      </c>
      <c r="AX25" s="281">
        <f>IF(B25&gt;mpfo,0,IF(B25=mpfo,(vld-teo*(1+tcfo-incc)^(MAX(mmo,mmv)-mbfo))*-1,IF(SUM($N$13:N24)&gt;=pmo,IF(($V24/ntudv)&gt;=pmv,IF(B25=MAX(mmo,mmv),-teo*(1+tcfo-incc)^(B25-mbfo),0),0),0)))</f>
        <v>0</v>
      </c>
      <c r="AY25" s="292" t="e">
        <f t="shared" si="32"/>
        <v>#DIV/0!</v>
      </c>
      <c r="AZ25" s="235" t="e">
        <f t="shared" si="80"/>
        <v>#DIV/0!</v>
      </c>
      <c r="BA25" s="269" t="e">
        <f t="shared" si="81"/>
        <v>#DIV/0!</v>
      </c>
      <c r="BB25" s="292" t="e">
        <f t="shared" si="82"/>
        <v>#DIV/0!</v>
      </c>
      <c r="BC25" s="238" t="e">
        <f>IF(SUM($BC$13:BC24)&gt;0,0,IF(BB25&gt;0,B25,0))</f>
        <v>#DIV/0!</v>
      </c>
      <c r="BD25" s="292" t="e">
        <f>IF(BB25+SUM($BD$12:BD24)&gt;=0,0,-BB25-SUM($BD$12:BD24))</f>
        <v>#DIV/0!</v>
      </c>
      <c r="BE25" s="235" t="e">
        <f>BB25+SUM($BD$12:BD25)</f>
        <v>#DIV/0!</v>
      </c>
      <c r="BF25" s="292" t="e">
        <f>-MIN(BE25:$BE$501)-SUM(BF$12:$BF24)</f>
        <v>#DIV/0!</v>
      </c>
      <c r="BG25" s="235" t="e">
        <f t="shared" si="47"/>
        <v>#DIV/0!</v>
      </c>
    </row>
    <row r="26" spans="2:59">
      <c r="B26" s="246">
        <v>13</v>
      </c>
      <c r="C26" s="241">
        <f t="shared" si="43"/>
        <v>43074</v>
      </c>
      <c r="D26" s="229">
        <f t="shared" si="48"/>
        <v>12</v>
      </c>
      <c r="E26" s="230" t="str">
        <f t="shared" si="49"/>
        <v>-</v>
      </c>
      <c r="F26" s="231">
        <f t="shared" si="50"/>
        <v>0</v>
      </c>
      <c r="G26" s="231">
        <f t="shared" si="51"/>
        <v>0</v>
      </c>
      <c r="H26" s="231">
        <f t="shared" si="52"/>
        <v>0</v>
      </c>
      <c r="I26" s="268">
        <f t="shared" si="5"/>
        <v>0</v>
      </c>
      <c r="J26" s="269">
        <f t="shared" si="53"/>
        <v>0</v>
      </c>
      <c r="K26" s="269">
        <f t="shared" si="54"/>
        <v>0</v>
      </c>
      <c r="L26" s="269">
        <f t="shared" si="7"/>
        <v>0</v>
      </c>
      <c r="M26" s="269">
        <f t="shared" si="8"/>
        <v>0</v>
      </c>
      <c r="N26" s="233">
        <f>VLOOKUP(B26,Dados!$L$86:$P$90,5)</f>
        <v>0</v>
      </c>
      <c r="O26" s="270">
        <f t="shared" si="55"/>
        <v>0</v>
      </c>
      <c r="P26" s="269">
        <f t="shared" si="56"/>
        <v>0</v>
      </c>
      <c r="Q26" s="269" t="e">
        <f t="shared" si="57"/>
        <v>#DIV/0!</v>
      </c>
      <c r="R26" s="269">
        <f t="shared" si="58"/>
        <v>0</v>
      </c>
      <c r="S26" s="269" t="e">
        <f t="shared" si="59"/>
        <v>#DIV/0!</v>
      </c>
      <c r="T26" s="269" t="e">
        <f t="shared" si="38"/>
        <v>#DIV/0!</v>
      </c>
      <c r="U26" s="234">
        <f t="shared" si="60"/>
        <v>0</v>
      </c>
      <c r="V26" s="232">
        <f t="shared" si="61"/>
        <v>0</v>
      </c>
      <c r="W26" s="269" t="e">
        <f t="shared" si="62"/>
        <v>#DIV/0!</v>
      </c>
      <c r="X26" s="235">
        <f t="shared" si="14"/>
        <v>0</v>
      </c>
      <c r="Y26" s="236">
        <f t="shared" si="63"/>
        <v>0</v>
      </c>
      <c r="Z26" s="236" t="e">
        <f t="shared" si="64"/>
        <v>#DIV/0!</v>
      </c>
      <c r="AA26" s="236">
        <f t="shared" si="65"/>
        <v>0</v>
      </c>
      <c r="AB26" s="236" t="e">
        <f t="shared" si="66"/>
        <v>#DIV/0!</v>
      </c>
      <c r="AC26" s="235" t="e">
        <f t="shared" si="67"/>
        <v>#DIV/0!</v>
      </c>
      <c r="AD26" s="235">
        <f t="shared" si="68"/>
        <v>0</v>
      </c>
      <c r="AE26" s="279" t="e">
        <f t="shared" si="69"/>
        <v>#DIV/0!</v>
      </c>
      <c r="AF26" s="232">
        <f t="shared" si="70"/>
        <v>1</v>
      </c>
      <c r="AG26" s="235">
        <f t="shared" si="71"/>
        <v>1</v>
      </c>
      <c r="AH26" s="269" t="e">
        <f t="shared" si="72"/>
        <v>#DIV/0!</v>
      </c>
      <c r="AI26" s="232">
        <f t="shared" si="73"/>
        <v>1</v>
      </c>
      <c r="AJ26" s="235">
        <f t="shared" si="74"/>
        <v>1</v>
      </c>
      <c r="AK26" s="269" t="e">
        <f t="shared" si="75"/>
        <v>#DIV/0!</v>
      </c>
      <c r="AL26" s="269">
        <f t="shared" si="27"/>
        <v>0</v>
      </c>
      <c r="AM26" s="281">
        <f>IF(B26&gt;=mpfo,pos*vvm*Dados!$E$122*(ntudv-SUM(U27:$U$301))-SUM($AM$13:AM25),0)</f>
        <v>0</v>
      </c>
      <c r="AN26" s="269" t="e">
        <f t="shared" si="76"/>
        <v>#DIV/0!</v>
      </c>
      <c r="AO26" s="232" t="e">
        <f t="shared" si="77"/>
        <v>#DIV/0!</v>
      </c>
      <c r="AP26" s="242" t="e">
        <f t="shared" si="78"/>
        <v>#DIV/0!</v>
      </c>
      <c r="AQ26" s="235" t="e">
        <f>IF(AP26+SUM($AQ$12:AQ25)&gt;=0,0,-AP26-SUM($AQ$12:AQ25))</f>
        <v>#DIV/0!</v>
      </c>
      <c r="AR26" s="235">
        <f>IF(SUM($N$13:N25)&gt;=pmo,IF(SUM(N25:$N$501)&gt;(1-pmo),B26,0),0)</f>
        <v>0</v>
      </c>
      <c r="AS26" s="235" t="e">
        <f>IF((SUM($U$13:$U25)/ntudv)&gt;=pmv,IF((SUM($U25:$U$501)/ntudv)&gt;(1-pmv),B26,0),0)</f>
        <v>#DIV/0!</v>
      </c>
      <c r="AT26" s="237" t="e">
        <f>IF(MAX(mmo,mmv)=mmo,IF(B26=AR26,(SUM(N$13:$N25)-pmo)/((1-VLOOKUP(MAX(mmo,mmv)-1,$B$13:$O$501,14))+(VLOOKUP(MAX(mmo,mmv)-1,$B$13:$O$501,14)-pmo)),N25/((1-VLOOKUP(MAX(mmo,mmv)-1,$B$13:$O$501,14)+(VLOOKUP(MAX(mmo,mmv)-1,$B$13:$O$501,14)-pmo)))),N25/(1-VLOOKUP(MAX(mmo,mmv)-2,$B$13:$O$501,14)))</f>
        <v>#DIV/0!</v>
      </c>
      <c r="AU26" s="101" t="e">
        <f t="shared" si="29"/>
        <v>#DIV/0!</v>
      </c>
      <c r="AV26" s="287" t="e">
        <f t="shared" si="30"/>
        <v>#DIV/0!</v>
      </c>
      <c r="AW26" s="235" t="e">
        <f t="shared" si="79"/>
        <v>#DIV/0!</v>
      </c>
      <c r="AX26" s="281">
        <f>IF(B26&gt;mpfo,0,IF(B26=mpfo,(vld-teo*(1+tcfo-incc)^(MAX(mmo,mmv)-mbfo))*-1,IF(SUM($N$13:N25)&gt;=pmo,IF(($V25/ntudv)&gt;=pmv,IF(B26=MAX(mmo,mmv),-teo*(1+tcfo-incc)^(B26-mbfo),0),0),0)))</f>
        <v>0</v>
      </c>
      <c r="AY26" s="292" t="e">
        <f t="shared" si="32"/>
        <v>#DIV/0!</v>
      </c>
      <c r="AZ26" s="235" t="e">
        <f t="shared" si="80"/>
        <v>#DIV/0!</v>
      </c>
      <c r="BA26" s="269" t="e">
        <f t="shared" si="81"/>
        <v>#DIV/0!</v>
      </c>
      <c r="BB26" s="292" t="e">
        <f t="shared" si="82"/>
        <v>#DIV/0!</v>
      </c>
      <c r="BC26" s="238" t="e">
        <f>IF(SUM($BC$13:BC25)&gt;0,0,IF(BB26&gt;0,B26,0))</f>
        <v>#DIV/0!</v>
      </c>
      <c r="BD26" s="292" t="e">
        <f>IF(BB26+SUM($BD$12:BD25)&gt;=0,0,-BB26-SUM($BD$12:BD25))</f>
        <v>#DIV/0!</v>
      </c>
      <c r="BE26" s="235" t="e">
        <f>BB26+SUM($BD$12:BD26)</f>
        <v>#DIV/0!</v>
      </c>
      <c r="BF26" s="292" t="e">
        <f>-MIN(BE26:$BE$501)-SUM(BF$12:$BF25)</f>
        <v>#DIV/0!</v>
      </c>
      <c r="BG26" s="235" t="e">
        <f t="shared" si="47"/>
        <v>#DIV/0!</v>
      </c>
    </row>
    <row r="27" spans="2:59">
      <c r="B27" s="120">
        <v>14</v>
      </c>
      <c r="C27" s="241">
        <f t="shared" si="43"/>
        <v>43105</v>
      </c>
      <c r="D27" s="229">
        <f t="shared" si="48"/>
        <v>1</v>
      </c>
      <c r="E27" s="230" t="str">
        <f t="shared" si="49"/>
        <v>-</v>
      </c>
      <c r="F27" s="231">
        <f t="shared" si="50"/>
        <v>0</v>
      </c>
      <c r="G27" s="231">
        <f t="shared" si="51"/>
        <v>0</v>
      </c>
      <c r="H27" s="231">
        <f t="shared" si="52"/>
        <v>0</v>
      </c>
      <c r="I27" s="268">
        <f t="shared" si="5"/>
        <v>0</v>
      </c>
      <c r="J27" s="269">
        <f t="shared" si="53"/>
        <v>0</v>
      </c>
      <c r="K27" s="269">
        <f t="shared" si="54"/>
        <v>0</v>
      </c>
      <c r="L27" s="269">
        <f t="shared" si="7"/>
        <v>0</v>
      </c>
      <c r="M27" s="269">
        <f t="shared" si="8"/>
        <v>0</v>
      </c>
      <c r="N27" s="233">
        <f>VLOOKUP(B27,Dados!$L$86:$P$90,5)</f>
        <v>0</v>
      </c>
      <c r="O27" s="270">
        <f t="shared" si="55"/>
        <v>0</v>
      </c>
      <c r="P27" s="269">
        <f t="shared" si="56"/>
        <v>0</v>
      </c>
      <c r="Q27" s="269" t="e">
        <f t="shared" si="57"/>
        <v>#DIV/0!</v>
      </c>
      <c r="R27" s="269">
        <f t="shared" si="58"/>
        <v>0</v>
      </c>
      <c r="S27" s="269" t="e">
        <f t="shared" si="59"/>
        <v>#DIV/0!</v>
      </c>
      <c r="T27" s="269" t="e">
        <f t="shared" si="38"/>
        <v>#DIV/0!</v>
      </c>
      <c r="U27" s="234">
        <f t="shared" si="60"/>
        <v>0</v>
      </c>
      <c r="V27" s="232">
        <f t="shared" si="61"/>
        <v>0</v>
      </c>
      <c r="W27" s="269" t="e">
        <f t="shared" si="62"/>
        <v>#DIV/0!</v>
      </c>
      <c r="X27" s="235">
        <f t="shared" si="14"/>
        <v>0</v>
      </c>
      <c r="Y27" s="236">
        <f t="shared" si="63"/>
        <v>1</v>
      </c>
      <c r="Z27" s="236" t="e">
        <f t="shared" si="64"/>
        <v>#DIV/0!</v>
      </c>
      <c r="AA27" s="236">
        <f t="shared" si="65"/>
        <v>1</v>
      </c>
      <c r="AB27" s="236" t="e">
        <f t="shared" si="66"/>
        <v>#DIV/0!</v>
      </c>
      <c r="AC27" s="235" t="e">
        <f t="shared" si="67"/>
        <v>#DIV/0!</v>
      </c>
      <c r="AD27" s="235">
        <f t="shared" si="68"/>
        <v>0</v>
      </c>
      <c r="AE27" s="279" t="e">
        <f t="shared" si="69"/>
        <v>#DIV/0!</v>
      </c>
      <c r="AF27" s="232">
        <f t="shared" si="70"/>
        <v>0</v>
      </c>
      <c r="AG27" s="235">
        <f t="shared" si="71"/>
        <v>1</v>
      </c>
      <c r="AH27" s="269" t="e">
        <f t="shared" si="72"/>
        <v>#DIV/0!</v>
      </c>
      <c r="AI27" s="232">
        <f t="shared" si="73"/>
        <v>0</v>
      </c>
      <c r="AJ27" s="235">
        <f t="shared" si="74"/>
        <v>1</v>
      </c>
      <c r="AK27" s="269" t="e">
        <f t="shared" si="75"/>
        <v>#DIV/0!</v>
      </c>
      <c r="AL27" s="269">
        <f t="shared" si="27"/>
        <v>0</v>
      </c>
      <c r="AM27" s="281">
        <f>IF(B27&gt;=mpfo,pos*vvm*Dados!$E$122*(ntudv-SUM(U28:$U$301))-SUM($AM$13:AM26),0)</f>
        <v>0</v>
      </c>
      <c r="AN27" s="269" t="e">
        <f t="shared" si="76"/>
        <v>#DIV/0!</v>
      </c>
      <c r="AO27" s="232" t="e">
        <f t="shared" si="77"/>
        <v>#DIV/0!</v>
      </c>
      <c r="AP27" s="242" t="e">
        <f t="shared" si="78"/>
        <v>#DIV/0!</v>
      </c>
      <c r="AQ27" s="235" t="e">
        <f>IF(AP27+SUM($AQ$12:AQ26)&gt;=0,0,-AP27-SUM($AQ$12:AQ26))</f>
        <v>#DIV/0!</v>
      </c>
      <c r="AR27" s="235">
        <f>IF(SUM($N$13:N26)&gt;=pmo,IF(SUM(N26:$N$501)&gt;(1-pmo),B27,0),0)</f>
        <v>0</v>
      </c>
      <c r="AS27" s="235" t="e">
        <f>IF((SUM($U$13:$U26)/ntudv)&gt;=pmv,IF((SUM($U26:$U$501)/ntudv)&gt;(1-pmv),B27,0),0)</f>
        <v>#DIV/0!</v>
      </c>
      <c r="AT27" s="237" t="e">
        <f>IF(MAX(mmo,mmv)=mmo,IF(B27=AR27,(SUM(N$13:$N26)-pmo)/((1-VLOOKUP(MAX(mmo,mmv)-1,$B$13:$O$501,14))+(VLOOKUP(MAX(mmo,mmv)-1,$B$13:$O$501,14)-pmo)),N26/((1-VLOOKUP(MAX(mmo,mmv)-1,$B$13:$O$501,14)+(VLOOKUP(MAX(mmo,mmv)-1,$B$13:$O$501,14)-pmo)))),N26/(1-VLOOKUP(MAX(mmo,mmv)-2,$B$13:$O$501,14)))</f>
        <v>#DIV/0!</v>
      </c>
      <c r="AU27" s="101" t="e">
        <f t="shared" si="29"/>
        <v>#DIV/0!</v>
      </c>
      <c r="AV27" s="287" t="e">
        <f t="shared" si="30"/>
        <v>#DIV/0!</v>
      </c>
      <c r="AW27" s="235" t="e">
        <f t="shared" si="79"/>
        <v>#DIV/0!</v>
      </c>
      <c r="AX27" s="281">
        <f>IF(B27&gt;mpfo,0,IF(B27=mpfo,(vld-teo*(1+tcfo-incc)^(MAX(mmo,mmv)-mbfo))*-1,IF(SUM($N$13:N26)&gt;=pmo,IF(($V26/ntudv)&gt;=pmv,IF(B27=MAX(mmo,mmv),-teo*(1+tcfo-incc)^(B27-mbfo),0),0),0)))</f>
        <v>0</v>
      </c>
      <c r="AY27" s="292" t="e">
        <f t="shared" si="32"/>
        <v>#DIV/0!</v>
      </c>
      <c r="AZ27" s="235" t="e">
        <f t="shared" si="80"/>
        <v>#DIV/0!</v>
      </c>
      <c r="BA27" s="269" t="e">
        <f t="shared" si="81"/>
        <v>#DIV/0!</v>
      </c>
      <c r="BB27" s="292" t="e">
        <f t="shared" si="82"/>
        <v>#DIV/0!</v>
      </c>
      <c r="BC27" s="238" t="e">
        <f>IF(SUM($BC$13:BC26)&gt;0,0,IF(BB27&gt;0,B27,0))</f>
        <v>#DIV/0!</v>
      </c>
      <c r="BD27" s="292" t="e">
        <f>IF(BB27+SUM($BD$12:BD26)&gt;=0,0,-BB27-SUM($BD$12:BD26))</f>
        <v>#DIV/0!</v>
      </c>
      <c r="BE27" s="235" t="e">
        <f>BB27+SUM($BD$12:BD27)</f>
        <v>#DIV/0!</v>
      </c>
      <c r="BF27" s="292" t="e">
        <f>-MIN(BE27:$BE$501)-SUM(BF$12:$BF26)</f>
        <v>#DIV/0!</v>
      </c>
      <c r="BG27" s="235" t="e">
        <f t="shared" si="47"/>
        <v>#DIV/0!</v>
      </c>
    </row>
    <row r="28" spans="2:59">
      <c r="B28" s="246">
        <v>15</v>
      </c>
      <c r="C28" s="241">
        <f t="shared" si="43"/>
        <v>43136</v>
      </c>
      <c r="D28" s="229">
        <f t="shared" si="48"/>
        <v>2</v>
      </c>
      <c r="E28" s="230" t="str">
        <f t="shared" si="49"/>
        <v>Inic. Obras</v>
      </c>
      <c r="F28" s="231">
        <f t="shared" si="50"/>
        <v>0</v>
      </c>
      <c r="G28" s="231">
        <f t="shared" si="51"/>
        <v>0</v>
      </c>
      <c r="H28" s="231">
        <f t="shared" si="52"/>
        <v>0</v>
      </c>
      <c r="I28" s="268">
        <f t="shared" si="5"/>
        <v>0</v>
      </c>
      <c r="J28" s="269">
        <f t="shared" si="53"/>
        <v>0</v>
      </c>
      <c r="K28" s="269">
        <f t="shared" si="54"/>
        <v>0</v>
      </c>
      <c r="L28" s="269">
        <f t="shared" si="7"/>
        <v>0</v>
      </c>
      <c r="M28" s="269">
        <f t="shared" si="8"/>
        <v>0</v>
      </c>
      <c r="N28" s="233">
        <f>VLOOKUP(B28,Dados!$L$86:$P$90,5)</f>
        <v>2.5000000000000001E-2</v>
      </c>
      <c r="O28" s="270">
        <f t="shared" si="55"/>
        <v>2.5000000000000001E-2</v>
      </c>
      <c r="P28" s="269">
        <f t="shared" si="56"/>
        <v>0</v>
      </c>
      <c r="Q28" s="269" t="e">
        <f t="shared" si="57"/>
        <v>#DIV/0!</v>
      </c>
      <c r="R28" s="269">
        <f t="shared" si="58"/>
        <v>0</v>
      </c>
      <c r="S28" s="269" t="e">
        <f t="shared" si="59"/>
        <v>#DIV/0!</v>
      </c>
      <c r="T28" s="269" t="e">
        <f t="shared" si="38"/>
        <v>#DIV/0!</v>
      </c>
      <c r="U28" s="234">
        <f t="shared" si="60"/>
        <v>0</v>
      </c>
      <c r="V28" s="232">
        <f t="shared" si="61"/>
        <v>0</v>
      </c>
      <c r="W28" s="269" t="e">
        <f t="shared" si="62"/>
        <v>#DIV/0!</v>
      </c>
      <c r="X28" s="235">
        <f t="shared" si="14"/>
        <v>0</v>
      </c>
      <c r="Y28" s="236">
        <f t="shared" si="63"/>
        <v>1</v>
      </c>
      <c r="Z28" s="236" t="e">
        <f t="shared" si="64"/>
        <v>#DIV/0!</v>
      </c>
      <c r="AA28" s="236">
        <f t="shared" si="65"/>
        <v>1</v>
      </c>
      <c r="AB28" s="236" t="e">
        <f t="shared" si="66"/>
        <v>#DIV/0!</v>
      </c>
      <c r="AC28" s="235" t="e">
        <f t="shared" si="67"/>
        <v>#DIV/0!</v>
      </c>
      <c r="AD28" s="235">
        <f t="shared" si="68"/>
        <v>0</v>
      </c>
      <c r="AE28" s="279" t="e">
        <f t="shared" si="69"/>
        <v>#DIV/0!</v>
      </c>
      <c r="AF28" s="232">
        <f t="shared" si="70"/>
        <v>0</v>
      </c>
      <c r="AG28" s="235">
        <f t="shared" si="71"/>
        <v>1</v>
      </c>
      <c r="AH28" s="269" t="e">
        <f t="shared" si="72"/>
        <v>#DIV/0!</v>
      </c>
      <c r="AI28" s="232">
        <f t="shared" si="73"/>
        <v>0</v>
      </c>
      <c r="AJ28" s="235">
        <f t="shared" si="74"/>
        <v>1</v>
      </c>
      <c r="AK28" s="269" t="e">
        <f t="shared" si="75"/>
        <v>#DIV/0!</v>
      </c>
      <c r="AL28" s="269">
        <f t="shared" si="27"/>
        <v>0</v>
      </c>
      <c r="AM28" s="281">
        <f>IF(B28&gt;=mpfo,pos*vvm*Dados!$E$122*(ntudv-SUM(U29:$U$301))-SUM($AM$13:AM27),0)</f>
        <v>0</v>
      </c>
      <c r="AN28" s="269" t="e">
        <f t="shared" si="76"/>
        <v>#DIV/0!</v>
      </c>
      <c r="AO28" s="232" t="e">
        <f t="shared" si="77"/>
        <v>#DIV/0!</v>
      </c>
      <c r="AP28" s="242" t="e">
        <f t="shared" si="78"/>
        <v>#DIV/0!</v>
      </c>
      <c r="AQ28" s="235" t="e">
        <f>IF(AP28+SUM($AQ$12:AQ27)&gt;=0,0,-AP28-SUM($AQ$12:AQ27))</f>
        <v>#DIV/0!</v>
      </c>
      <c r="AR28" s="235">
        <f>IF(SUM($N$13:N27)&gt;=pmo,IF(SUM(N27:$N$501)&gt;(1-pmo),B28,0),0)</f>
        <v>0</v>
      </c>
      <c r="AS28" s="235" t="e">
        <f>IF((SUM($U$13:$U27)/ntudv)&gt;=pmv,IF((SUM($U27:$U$501)/ntudv)&gt;(1-pmv),B28,0),0)</f>
        <v>#DIV/0!</v>
      </c>
      <c r="AT28" s="237" t="e">
        <f>IF(MAX(mmo,mmv)=mmo,IF(B28=AR28,(SUM(N$13:$N27)-pmo)/((1-VLOOKUP(MAX(mmo,mmv)-1,$B$13:$O$501,14))+(VLOOKUP(MAX(mmo,mmv)-1,$B$13:$O$501,14)-pmo)),N27/((1-VLOOKUP(MAX(mmo,mmv)-1,$B$13:$O$501,14)+(VLOOKUP(MAX(mmo,mmv)-1,$B$13:$O$501,14)-pmo)))),N27/(1-VLOOKUP(MAX(mmo,mmv)-2,$B$13:$O$501,14)))</f>
        <v>#DIV/0!</v>
      </c>
      <c r="AU28" s="101" t="e">
        <f t="shared" si="29"/>
        <v>#DIV/0!</v>
      </c>
      <c r="AV28" s="287" t="e">
        <f t="shared" si="30"/>
        <v>#DIV/0!</v>
      </c>
      <c r="AW28" s="235" t="e">
        <f t="shared" si="79"/>
        <v>#DIV/0!</v>
      </c>
      <c r="AX28" s="281">
        <f>IF(B28&gt;mpfo,0,IF(B28=mpfo,(vld-teo*(1+tcfo-incc)^(MAX(mmo,mmv)-mbfo))*-1,IF(SUM($N$13:N27)&gt;=pmo,IF(($V27/ntudv)&gt;=pmv,IF(B28=MAX(mmo,mmv),-teo*(1+tcfo-incc)^(B28-mbfo),0),0),0)))</f>
        <v>0</v>
      </c>
      <c r="AY28" s="292" t="e">
        <f t="shared" si="32"/>
        <v>#DIV/0!</v>
      </c>
      <c r="AZ28" s="235" t="e">
        <f t="shared" si="80"/>
        <v>#DIV/0!</v>
      </c>
      <c r="BA28" s="269" t="e">
        <f t="shared" si="81"/>
        <v>#DIV/0!</v>
      </c>
      <c r="BB28" s="292" t="e">
        <f t="shared" si="82"/>
        <v>#DIV/0!</v>
      </c>
      <c r="BC28" s="238" t="e">
        <f>IF(SUM($BC$13:BC27)&gt;0,0,IF(BB28&gt;0,B28,0))</f>
        <v>#DIV/0!</v>
      </c>
      <c r="BD28" s="292" t="e">
        <f>IF(BB28+SUM($BD$12:BD27)&gt;=0,0,-BB28-SUM($BD$12:BD27))</f>
        <v>#DIV/0!</v>
      </c>
      <c r="BE28" s="235" t="e">
        <f>BB28+SUM($BD$12:BD28)</f>
        <v>#DIV/0!</v>
      </c>
      <c r="BF28" s="292" t="e">
        <f>-MIN(BE28:$BE$501)-SUM(BF$12:$BF27)</f>
        <v>#DIV/0!</v>
      </c>
      <c r="BG28" s="235" t="e">
        <f t="shared" si="47"/>
        <v>#DIV/0!</v>
      </c>
    </row>
    <row r="29" spans="2:59">
      <c r="B29" s="120">
        <v>16</v>
      </c>
      <c r="C29" s="241">
        <f t="shared" si="43"/>
        <v>43164</v>
      </c>
      <c r="D29" s="229">
        <f t="shared" si="48"/>
        <v>3</v>
      </c>
      <c r="E29" s="230" t="str">
        <f t="shared" si="49"/>
        <v>-</v>
      </c>
      <c r="F29" s="231">
        <f t="shared" si="50"/>
        <v>0</v>
      </c>
      <c r="G29" s="231">
        <f t="shared" si="51"/>
        <v>0</v>
      </c>
      <c r="H29" s="231">
        <f t="shared" si="52"/>
        <v>0</v>
      </c>
      <c r="I29" s="268">
        <f t="shared" si="5"/>
        <v>0</v>
      </c>
      <c r="J29" s="269">
        <f t="shared" si="53"/>
        <v>0</v>
      </c>
      <c r="K29" s="269">
        <f t="shared" si="54"/>
        <v>0</v>
      </c>
      <c r="L29" s="269">
        <f t="shared" si="7"/>
        <v>0</v>
      </c>
      <c r="M29" s="269">
        <f t="shared" si="8"/>
        <v>0</v>
      </c>
      <c r="N29" s="233">
        <f>VLOOKUP(B29,Dados!$L$86:$P$90,5)</f>
        <v>2.5000000000000001E-2</v>
      </c>
      <c r="O29" s="270">
        <f t="shared" si="55"/>
        <v>0.05</v>
      </c>
      <c r="P29" s="269">
        <f t="shared" si="56"/>
        <v>0</v>
      </c>
      <c r="Q29" s="269" t="e">
        <f t="shared" si="57"/>
        <v>#DIV/0!</v>
      </c>
      <c r="R29" s="269">
        <f t="shared" si="58"/>
        <v>0</v>
      </c>
      <c r="S29" s="269" t="e">
        <f t="shared" si="59"/>
        <v>#DIV/0!</v>
      </c>
      <c r="T29" s="269" t="e">
        <f t="shared" si="38"/>
        <v>#DIV/0!</v>
      </c>
      <c r="U29" s="234">
        <f t="shared" si="60"/>
        <v>0</v>
      </c>
      <c r="V29" s="232">
        <f t="shared" si="61"/>
        <v>0</v>
      </c>
      <c r="W29" s="269" t="e">
        <f t="shared" si="62"/>
        <v>#DIV/0!</v>
      </c>
      <c r="X29" s="235">
        <f t="shared" si="14"/>
        <v>0</v>
      </c>
      <c r="Y29" s="236">
        <f t="shared" si="63"/>
        <v>1</v>
      </c>
      <c r="Z29" s="236" t="e">
        <f t="shared" si="64"/>
        <v>#DIV/0!</v>
      </c>
      <c r="AA29" s="236">
        <f t="shared" si="65"/>
        <v>1</v>
      </c>
      <c r="AB29" s="236" t="e">
        <f t="shared" si="66"/>
        <v>#DIV/0!</v>
      </c>
      <c r="AC29" s="235" t="e">
        <f t="shared" si="67"/>
        <v>#DIV/0!</v>
      </c>
      <c r="AD29" s="235">
        <f t="shared" si="68"/>
        <v>0</v>
      </c>
      <c r="AE29" s="279" t="e">
        <f t="shared" si="69"/>
        <v>#DIV/0!</v>
      </c>
      <c r="AF29" s="232">
        <f t="shared" si="70"/>
        <v>0</v>
      </c>
      <c r="AG29" s="235">
        <f t="shared" si="71"/>
        <v>1</v>
      </c>
      <c r="AH29" s="269" t="e">
        <f t="shared" si="72"/>
        <v>#DIV/0!</v>
      </c>
      <c r="AI29" s="232">
        <f t="shared" si="73"/>
        <v>0</v>
      </c>
      <c r="AJ29" s="235">
        <f t="shared" si="74"/>
        <v>1</v>
      </c>
      <c r="AK29" s="269" t="e">
        <f t="shared" si="75"/>
        <v>#DIV/0!</v>
      </c>
      <c r="AL29" s="269">
        <f t="shared" si="27"/>
        <v>0</v>
      </c>
      <c r="AM29" s="281">
        <f>IF(B29&gt;=mpfo,pos*vvm*Dados!$E$122*(ntudv-SUM(U30:$U$301))-SUM($AM$13:AM28),0)</f>
        <v>0</v>
      </c>
      <c r="AN29" s="269" t="e">
        <f t="shared" si="76"/>
        <v>#DIV/0!</v>
      </c>
      <c r="AO29" s="232" t="e">
        <f t="shared" si="77"/>
        <v>#DIV/0!</v>
      </c>
      <c r="AP29" s="242" t="e">
        <f t="shared" si="78"/>
        <v>#DIV/0!</v>
      </c>
      <c r="AQ29" s="235" t="e">
        <f>IF(AP29+SUM($AQ$12:AQ28)&gt;=0,0,-AP29-SUM($AQ$12:AQ28))</f>
        <v>#DIV/0!</v>
      </c>
      <c r="AR29" s="235">
        <f>IF(SUM($N$13:N28)&gt;=pmo,IF(SUM(N28:$N$501)&gt;(1-pmo),B29,0),0)</f>
        <v>0</v>
      </c>
      <c r="AS29" s="235" t="e">
        <f>IF((SUM($U$13:$U28)/ntudv)&gt;=pmv,IF((SUM($U28:$U$501)/ntudv)&gt;(1-pmv),B29,0),0)</f>
        <v>#DIV/0!</v>
      </c>
      <c r="AT29" s="237" t="e">
        <f>IF(MAX(mmo,mmv)=mmo,IF(B29=AR29,(SUM(N$13:$N28)-pmo)/((1-VLOOKUP(MAX(mmo,mmv)-1,$B$13:$O$501,14))+(VLOOKUP(MAX(mmo,mmv)-1,$B$13:$O$501,14)-pmo)),N28/((1-VLOOKUP(MAX(mmo,mmv)-1,$B$13:$O$501,14)+(VLOOKUP(MAX(mmo,mmv)-1,$B$13:$O$501,14)-pmo)))),N28/(1-VLOOKUP(MAX(mmo,mmv)-2,$B$13:$O$501,14)))</f>
        <v>#DIV/0!</v>
      </c>
      <c r="AU29" s="101" t="e">
        <f t="shared" si="29"/>
        <v>#DIV/0!</v>
      </c>
      <c r="AV29" s="287" t="e">
        <f t="shared" si="30"/>
        <v>#DIV/0!</v>
      </c>
      <c r="AW29" s="235" t="e">
        <f t="shared" si="79"/>
        <v>#DIV/0!</v>
      </c>
      <c r="AX29" s="281">
        <f>IF(B29&gt;mpfo,0,IF(B29=mpfo,(vld-teo*(1+tcfo-incc)^(MAX(mmo,mmv)-mbfo))*-1,IF(SUM($N$13:N28)&gt;=pmo,IF(($V28/ntudv)&gt;=pmv,IF(B29=MAX(mmo,mmv),-teo*(1+tcfo-incc)^(B29-mbfo),0),0),0)))</f>
        <v>0</v>
      </c>
      <c r="AY29" s="292" t="e">
        <f t="shared" si="32"/>
        <v>#DIV/0!</v>
      </c>
      <c r="AZ29" s="235" t="e">
        <f t="shared" si="80"/>
        <v>#DIV/0!</v>
      </c>
      <c r="BA29" s="269" t="e">
        <f t="shared" si="81"/>
        <v>#DIV/0!</v>
      </c>
      <c r="BB29" s="292" t="e">
        <f t="shared" si="82"/>
        <v>#DIV/0!</v>
      </c>
      <c r="BC29" s="238" t="e">
        <f>IF(SUM($BC$13:BC28)&gt;0,0,IF(BB29&gt;0,B29,0))</f>
        <v>#DIV/0!</v>
      </c>
      <c r="BD29" s="292" t="e">
        <f>IF(BB29+SUM($BD$12:BD28)&gt;=0,0,-BB29-SUM($BD$12:BD28))</f>
        <v>#DIV/0!</v>
      </c>
      <c r="BE29" s="235" t="e">
        <f>BB29+SUM($BD$12:BD29)</f>
        <v>#DIV/0!</v>
      </c>
      <c r="BF29" s="292" t="e">
        <f>-MIN(BE29:$BE$501)-SUM(BF$12:$BF28)</f>
        <v>#DIV/0!</v>
      </c>
      <c r="BG29" s="235" t="e">
        <f t="shared" si="47"/>
        <v>#DIV/0!</v>
      </c>
    </row>
    <row r="30" spans="2:59">
      <c r="B30" s="246">
        <v>17</v>
      </c>
      <c r="C30" s="241">
        <f t="shared" si="43"/>
        <v>43195</v>
      </c>
      <c r="D30" s="229">
        <f t="shared" si="48"/>
        <v>4</v>
      </c>
      <c r="E30" s="230" t="str">
        <f t="shared" si="49"/>
        <v>-</v>
      </c>
      <c r="F30" s="231">
        <f t="shared" si="50"/>
        <v>0</v>
      </c>
      <c r="G30" s="231">
        <f t="shared" si="51"/>
        <v>0</v>
      </c>
      <c r="H30" s="231">
        <f t="shared" si="52"/>
        <v>0</v>
      </c>
      <c r="I30" s="268">
        <f t="shared" si="5"/>
        <v>0</v>
      </c>
      <c r="J30" s="269">
        <f t="shared" si="53"/>
        <v>0</v>
      </c>
      <c r="K30" s="269">
        <f t="shared" si="54"/>
        <v>0</v>
      </c>
      <c r="L30" s="269">
        <f t="shared" si="7"/>
        <v>0</v>
      </c>
      <c r="M30" s="269">
        <f t="shared" si="8"/>
        <v>0</v>
      </c>
      <c r="N30" s="233">
        <f>VLOOKUP(B30,Dados!$L$86:$P$90,5)</f>
        <v>2.5000000000000001E-2</v>
      </c>
      <c r="O30" s="270">
        <f t="shared" si="55"/>
        <v>7.5000000000000011E-2</v>
      </c>
      <c r="P30" s="269">
        <f t="shared" si="56"/>
        <v>0</v>
      </c>
      <c r="Q30" s="269" t="e">
        <f t="shared" si="57"/>
        <v>#DIV/0!</v>
      </c>
      <c r="R30" s="269">
        <f t="shared" si="58"/>
        <v>0</v>
      </c>
      <c r="S30" s="269" t="e">
        <f t="shared" si="59"/>
        <v>#DIV/0!</v>
      </c>
      <c r="T30" s="269" t="e">
        <f t="shared" si="38"/>
        <v>#DIV/0!</v>
      </c>
      <c r="U30" s="234">
        <f t="shared" si="60"/>
        <v>0</v>
      </c>
      <c r="V30" s="232">
        <f t="shared" si="61"/>
        <v>0</v>
      </c>
      <c r="W30" s="269" t="e">
        <f t="shared" si="62"/>
        <v>#DIV/0!</v>
      </c>
      <c r="X30" s="235">
        <f t="shared" si="14"/>
        <v>0</v>
      </c>
      <c r="Y30" s="236">
        <f t="shared" si="63"/>
        <v>1</v>
      </c>
      <c r="Z30" s="236" t="e">
        <f t="shared" si="64"/>
        <v>#DIV/0!</v>
      </c>
      <c r="AA30" s="236">
        <f t="shared" si="65"/>
        <v>1</v>
      </c>
      <c r="AB30" s="236" t="e">
        <f t="shared" si="66"/>
        <v>#DIV/0!</v>
      </c>
      <c r="AC30" s="235" t="e">
        <f t="shared" si="67"/>
        <v>#DIV/0!</v>
      </c>
      <c r="AD30" s="235">
        <f t="shared" si="68"/>
        <v>0</v>
      </c>
      <c r="AE30" s="279" t="e">
        <f t="shared" si="69"/>
        <v>#DIV/0!</v>
      </c>
      <c r="AF30" s="232">
        <f t="shared" si="70"/>
        <v>0</v>
      </c>
      <c r="AG30" s="235">
        <f t="shared" si="71"/>
        <v>1</v>
      </c>
      <c r="AH30" s="269" t="e">
        <f t="shared" si="72"/>
        <v>#DIV/0!</v>
      </c>
      <c r="AI30" s="232">
        <f t="shared" si="73"/>
        <v>0</v>
      </c>
      <c r="AJ30" s="235">
        <f t="shared" si="74"/>
        <v>1</v>
      </c>
      <c r="AK30" s="269" t="e">
        <f t="shared" si="75"/>
        <v>#DIV/0!</v>
      </c>
      <c r="AL30" s="269">
        <f t="shared" si="27"/>
        <v>0</v>
      </c>
      <c r="AM30" s="281">
        <f>IF(B30&gt;=mpfo,pos*vvm*Dados!$E$122*(ntudv-SUM(U31:$U$301))-SUM($AM$13:AM29),0)</f>
        <v>0</v>
      </c>
      <c r="AN30" s="269" t="e">
        <f t="shared" si="76"/>
        <v>#DIV/0!</v>
      </c>
      <c r="AO30" s="232" t="e">
        <f t="shared" si="77"/>
        <v>#DIV/0!</v>
      </c>
      <c r="AP30" s="242" t="e">
        <f t="shared" si="78"/>
        <v>#DIV/0!</v>
      </c>
      <c r="AQ30" s="235" t="e">
        <f>IF(AP30+SUM($AQ$12:AQ29)&gt;=0,0,-AP30-SUM($AQ$12:AQ29))</f>
        <v>#DIV/0!</v>
      </c>
      <c r="AR30" s="235">
        <f>IF(SUM($N$13:N29)&gt;=pmo,IF(SUM(N29:$N$501)&gt;(1-pmo),B30,0),0)</f>
        <v>0</v>
      </c>
      <c r="AS30" s="235" t="e">
        <f>IF((SUM($U$13:$U29)/ntudv)&gt;=pmv,IF((SUM($U29:$U$501)/ntudv)&gt;(1-pmv),B30,0),0)</f>
        <v>#DIV/0!</v>
      </c>
      <c r="AT30" s="237" t="e">
        <f>IF(MAX(mmo,mmv)=mmo,IF(B30=AR30,(SUM(N$13:$N29)-pmo)/((1-VLOOKUP(MAX(mmo,mmv)-1,$B$13:$O$501,14))+(VLOOKUP(MAX(mmo,mmv)-1,$B$13:$O$501,14)-pmo)),N29/((1-VLOOKUP(MAX(mmo,mmv)-1,$B$13:$O$501,14)+(VLOOKUP(MAX(mmo,mmv)-1,$B$13:$O$501,14)-pmo)))),N29/(1-VLOOKUP(MAX(mmo,mmv)-2,$B$13:$O$501,14)))</f>
        <v>#DIV/0!</v>
      </c>
      <c r="AU30" s="101" t="e">
        <f t="shared" si="29"/>
        <v>#DIV/0!</v>
      </c>
      <c r="AV30" s="287" t="e">
        <f t="shared" si="30"/>
        <v>#DIV/0!</v>
      </c>
      <c r="AW30" s="235" t="e">
        <f t="shared" si="79"/>
        <v>#DIV/0!</v>
      </c>
      <c r="AX30" s="281">
        <f>IF(B30&gt;mpfo,0,IF(B30=mpfo,(vld-teo*(1+tcfo-incc)^(MAX(mmo,mmv)-mbfo))*-1,IF(SUM($N$13:N29)&gt;=pmo,IF(($V29/ntudv)&gt;=pmv,IF(B30=MAX(mmo,mmv),-teo*(1+tcfo-incc)^(B30-mbfo),0),0),0)))</f>
        <v>0</v>
      </c>
      <c r="AY30" s="292" t="e">
        <f t="shared" si="32"/>
        <v>#DIV/0!</v>
      </c>
      <c r="AZ30" s="235" t="e">
        <f t="shared" si="80"/>
        <v>#DIV/0!</v>
      </c>
      <c r="BA30" s="269" t="e">
        <f t="shared" si="81"/>
        <v>#DIV/0!</v>
      </c>
      <c r="BB30" s="292" t="e">
        <f t="shared" si="82"/>
        <v>#DIV/0!</v>
      </c>
      <c r="BC30" s="238" t="e">
        <f>IF(SUM($BC$13:BC29)&gt;0,0,IF(BB30&gt;0,B30,0))</f>
        <v>#DIV/0!</v>
      </c>
      <c r="BD30" s="292" t="e">
        <f>IF(BB30+SUM($BD$12:BD29)&gt;=0,0,-BB30-SUM($BD$12:BD29))</f>
        <v>#DIV/0!</v>
      </c>
      <c r="BE30" s="235" t="e">
        <f>BB30+SUM($BD$12:BD30)</f>
        <v>#DIV/0!</v>
      </c>
      <c r="BF30" s="292" t="e">
        <f>-MIN(BE30:$BE$501)-SUM(BF$12:$BF29)</f>
        <v>#DIV/0!</v>
      </c>
      <c r="BG30" s="235" t="e">
        <f t="shared" si="47"/>
        <v>#DIV/0!</v>
      </c>
    </row>
    <row r="31" spans="2:59">
      <c r="B31" s="120">
        <v>18</v>
      </c>
      <c r="C31" s="241">
        <f t="shared" si="43"/>
        <v>43225</v>
      </c>
      <c r="D31" s="229">
        <f t="shared" si="48"/>
        <v>5</v>
      </c>
      <c r="E31" s="230" t="str">
        <f t="shared" si="49"/>
        <v>-</v>
      </c>
      <c r="F31" s="231">
        <f t="shared" si="50"/>
        <v>0</v>
      </c>
      <c r="G31" s="231">
        <f t="shared" si="51"/>
        <v>0</v>
      </c>
      <c r="H31" s="231">
        <f t="shared" si="52"/>
        <v>0</v>
      </c>
      <c r="I31" s="268">
        <f t="shared" si="5"/>
        <v>0</v>
      </c>
      <c r="J31" s="269">
        <f t="shared" si="53"/>
        <v>0</v>
      </c>
      <c r="K31" s="269">
        <f t="shared" si="54"/>
        <v>0</v>
      </c>
      <c r="L31" s="269">
        <f t="shared" si="7"/>
        <v>0</v>
      </c>
      <c r="M31" s="269">
        <f t="shared" si="8"/>
        <v>0</v>
      </c>
      <c r="N31" s="233">
        <f>VLOOKUP(B31,Dados!$L$86:$P$90,5)</f>
        <v>2.5000000000000001E-2</v>
      </c>
      <c r="O31" s="270">
        <f t="shared" si="55"/>
        <v>0.1</v>
      </c>
      <c r="P31" s="269">
        <f t="shared" si="56"/>
        <v>0</v>
      </c>
      <c r="Q31" s="269" t="e">
        <f t="shared" si="57"/>
        <v>#DIV/0!</v>
      </c>
      <c r="R31" s="269">
        <f t="shared" si="58"/>
        <v>0</v>
      </c>
      <c r="S31" s="269" t="e">
        <f t="shared" si="59"/>
        <v>#DIV/0!</v>
      </c>
      <c r="T31" s="269" t="e">
        <f t="shared" si="38"/>
        <v>#DIV/0!</v>
      </c>
      <c r="U31" s="234">
        <f t="shared" si="60"/>
        <v>0</v>
      </c>
      <c r="V31" s="232">
        <f t="shared" si="61"/>
        <v>0</v>
      </c>
      <c r="W31" s="269" t="e">
        <f t="shared" si="62"/>
        <v>#DIV/0!</v>
      </c>
      <c r="X31" s="235">
        <f t="shared" si="14"/>
        <v>0</v>
      </c>
      <c r="Y31" s="236">
        <f t="shared" si="63"/>
        <v>1</v>
      </c>
      <c r="Z31" s="236" t="e">
        <f t="shared" si="64"/>
        <v>#DIV/0!</v>
      </c>
      <c r="AA31" s="236">
        <f t="shared" si="65"/>
        <v>1</v>
      </c>
      <c r="AB31" s="236" t="e">
        <f t="shared" si="66"/>
        <v>#DIV/0!</v>
      </c>
      <c r="AC31" s="235" t="e">
        <f t="shared" si="67"/>
        <v>#DIV/0!</v>
      </c>
      <c r="AD31" s="235">
        <f t="shared" si="68"/>
        <v>0</v>
      </c>
      <c r="AE31" s="279" t="e">
        <f t="shared" si="69"/>
        <v>#DIV/0!</v>
      </c>
      <c r="AF31" s="232">
        <f t="shared" si="70"/>
        <v>0</v>
      </c>
      <c r="AG31" s="235">
        <f t="shared" si="71"/>
        <v>1</v>
      </c>
      <c r="AH31" s="269" t="e">
        <f t="shared" si="72"/>
        <v>#DIV/0!</v>
      </c>
      <c r="AI31" s="232">
        <f t="shared" si="73"/>
        <v>0</v>
      </c>
      <c r="AJ31" s="235">
        <f t="shared" si="74"/>
        <v>1</v>
      </c>
      <c r="AK31" s="269" t="e">
        <f t="shared" si="75"/>
        <v>#DIV/0!</v>
      </c>
      <c r="AL31" s="269">
        <f t="shared" si="27"/>
        <v>0</v>
      </c>
      <c r="AM31" s="281">
        <f>IF(B31&gt;=mpfo,pos*vvm*Dados!$E$122*(ntudv-SUM(U32:$U$301))-SUM($AM$13:AM30),0)</f>
        <v>0</v>
      </c>
      <c r="AN31" s="269" t="e">
        <f t="shared" si="76"/>
        <v>#DIV/0!</v>
      </c>
      <c r="AO31" s="232" t="e">
        <f t="shared" si="77"/>
        <v>#DIV/0!</v>
      </c>
      <c r="AP31" s="242" t="e">
        <f t="shared" si="78"/>
        <v>#DIV/0!</v>
      </c>
      <c r="AQ31" s="235" t="e">
        <f>IF(AP31+SUM($AQ$12:AQ30)&gt;=0,0,-AP31-SUM($AQ$12:AQ30))</f>
        <v>#DIV/0!</v>
      </c>
      <c r="AR31" s="235">
        <f>IF(SUM($N$13:N30)&gt;=pmo,IF(SUM(N30:$N$501)&gt;(1-pmo),B31,0),0)</f>
        <v>0</v>
      </c>
      <c r="AS31" s="235" t="e">
        <f>IF((SUM($U$13:$U30)/ntudv)&gt;=pmv,IF((SUM($U30:$U$501)/ntudv)&gt;(1-pmv),B31,0),0)</f>
        <v>#DIV/0!</v>
      </c>
      <c r="AT31" s="237" t="e">
        <f>IF(MAX(mmo,mmv)=mmo,IF(B31=AR31,(SUM(N$13:$N30)-pmo)/((1-VLOOKUP(MAX(mmo,mmv)-1,$B$13:$O$501,14))+(VLOOKUP(MAX(mmo,mmv)-1,$B$13:$O$501,14)-pmo)),N30/((1-VLOOKUP(MAX(mmo,mmv)-1,$B$13:$O$501,14)+(VLOOKUP(MAX(mmo,mmv)-1,$B$13:$O$501,14)-pmo)))),N30/(1-VLOOKUP(MAX(mmo,mmv)-2,$B$13:$O$501,14)))</f>
        <v>#DIV/0!</v>
      </c>
      <c r="AU31" s="101" t="e">
        <f t="shared" si="29"/>
        <v>#DIV/0!</v>
      </c>
      <c r="AV31" s="287" t="e">
        <f t="shared" si="30"/>
        <v>#DIV/0!</v>
      </c>
      <c r="AW31" s="235" t="e">
        <f t="shared" si="79"/>
        <v>#DIV/0!</v>
      </c>
      <c r="AX31" s="281">
        <f>IF(B31&gt;mpfo,0,IF(B31=mpfo,(vld-teo*(1+tcfo-incc)^(MAX(mmo,mmv)-mbfo))*-1,IF(SUM($N$13:N30)&gt;=pmo,IF(($V30/ntudv)&gt;=pmv,IF(B31=MAX(mmo,mmv),-teo*(1+tcfo-incc)^(B31-mbfo),0),0),0)))</f>
        <v>0</v>
      </c>
      <c r="AY31" s="292" t="e">
        <f t="shared" si="32"/>
        <v>#DIV/0!</v>
      </c>
      <c r="AZ31" s="235" t="e">
        <f t="shared" si="80"/>
        <v>#DIV/0!</v>
      </c>
      <c r="BA31" s="269" t="e">
        <f t="shared" si="81"/>
        <v>#DIV/0!</v>
      </c>
      <c r="BB31" s="292" t="e">
        <f t="shared" si="82"/>
        <v>#DIV/0!</v>
      </c>
      <c r="BC31" s="238" t="e">
        <f>IF(SUM($BC$13:BC30)&gt;0,0,IF(BB31&gt;0,B31,0))</f>
        <v>#DIV/0!</v>
      </c>
      <c r="BD31" s="292" t="e">
        <f>IF(BB31+SUM($BD$12:BD30)&gt;=0,0,-BB31-SUM($BD$12:BD30))</f>
        <v>#DIV/0!</v>
      </c>
      <c r="BE31" s="235" t="e">
        <f>BB31+SUM($BD$12:BD31)</f>
        <v>#DIV/0!</v>
      </c>
      <c r="BF31" s="292" t="e">
        <f>-MIN(BE31:$BE$501)-SUM(BF$12:$BF30)</f>
        <v>#DIV/0!</v>
      </c>
      <c r="BG31" s="235" t="e">
        <f t="shared" si="47"/>
        <v>#DIV/0!</v>
      </c>
    </row>
    <row r="32" spans="2:59">
      <c r="B32" s="246">
        <v>19</v>
      </c>
      <c r="C32" s="241">
        <f t="shared" si="43"/>
        <v>43256</v>
      </c>
      <c r="D32" s="229">
        <f t="shared" si="48"/>
        <v>6</v>
      </c>
      <c r="E32" s="230" t="str">
        <f t="shared" si="49"/>
        <v>-</v>
      </c>
      <c r="F32" s="231">
        <f t="shared" si="50"/>
        <v>0</v>
      </c>
      <c r="G32" s="231">
        <f t="shared" si="51"/>
        <v>0</v>
      </c>
      <c r="H32" s="231">
        <f t="shared" si="52"/>
        <v>0</v>
      </c>
      <c r="I32" s="268">
        <f t="shared" si="5"/>
        <v>0</v>
      </c>
      <c r="J32" s="269">
        <f t="shared" si="53"/>
        <v>0</v>
      </c>
      <c r="K32" s="269">
        <f t="shared" si="54"/>
        <v>0</v>
      </c>
      <c r="L32" s="269">
        <f t="shared" si="7"/>
        <v>0</v>
      </c>
      <c r="M32" s="269">
        <f t="shared" si="8"/>
        <v>0</v>
      </c>
      <c r="N32" s="233">
        <f>VLOOKUP(B32,Dados!$L$86:$P$90,5)</f>
        <v>2.5000000000000001E-2</v>
      </c>
      <c r="O32" s="270">
        <f t="shared" si="55"/>
        <v>0.125</v>
      </c>
      <c r="P32" s="269">
        <f t="shared" si="56"/>
        <v>0</v>
      </c>
      <c r="Q32" s="269" t="e">
        <f t="shared" si="57"/>
        <v>#DIV/0!</v>
      </c>
      <c r="R32" s="269">
        <f t="shared" si="58"/>
        <v>0</v>
      </c>
      <c r="S32" s="269" t="e">
        <f t="shared" si="59"/>
        <v>#DIV/0!</v>
      </c>
      <c r="T32" s="269" t="e">
        <f t="shared" si="38"/>
        <v>#DIV/0!</v>
      </c>
      <c r="U32" s="234">
        <f t="shared" si="60"/>
        <v>0</v>
      </c>
      <c r="V32" s="232">
        <f t="shared" si="61"/>
        <v>0</v>
      </c>
      <c r="W32" s="269" t="e">
        <f t="shared" si="62"/>
        <v>#DIV/0!</v>
      </c>
      <c r="X32" s="235">
        <f t="shared" si="14"/>
        <v>0</v>
      </c>
      <c r="Y32" s="236">
        <f t="shared" si="63"/>
        <v>1</v>
      </c>
      <c r="Z32" s="236" t="e">
        <f t="shared" si="64"/>
        <v>#DIV/0!</v>
      </c>
      <c r="AA32" s="236">
        <f t="shared" si="65"/>
        <v>1</v>
      </c>
      <c r="AB32" s="236" t="e">
        <f t="shared" si="66"/>
        <v>#DIV/0!</v>
      </c>
      <c r="AC32" s="235" t="e">
        <f t="shared" si="67"/>
        <v>#DIV/0!</v>
      </c>
      <c r="AD32" s="235">
        <f t="shared" si="68"/>
        <v>0</v>
      </c>
      <c r="AE32" s="279" t="e">
        <f t="shared" si="69"/>
        <v>#DIV/0!</v>
      </c>
      <c r="AF32" s="232">
        <f t="shared" si="70"/>
        <v>1</v>
      </c>
      <c r="AG32" s="235">
        <f t="shared" si="71"/>
        <v>2</v>
      </c>
      <c r="AH32" s="269" t="e">
        <f t="shared" si="72"/>
        <v>#DIV/0!</v>
      </c>
      <c r="AI32" s="232">
        <f t="shared" si="73"/>
        <v>0</v>
      </c>
      <c r="AJ32" s="235">
        <f t="shared" si="74"/>
        <v>1</v>
      </c>
      <c r="AK32" s="269" t="e">
        <f t="shared" si="75"/>
        <v>#DIV/0!</v>
      </c>
      <c r="AL32" s="269">
        <f t="shared" si="27"/>
        <v>0</v>
      </c>
      <c r="AM32" s="281">
        <f>IF(B32&gt;=mpfo,pos*vvm*Dados!$E$122*(ntudv-SUM(U33:$U$301))-SUM($AM$13:AM31),0)</f>
        <v>0</v>
      </c>
      <c r="AN32" s="269" t="e">
        <f t="shared" si="76"/>
        <v>#DIV/0!</v>
      </c>
      <c r="AO32" s="232" t="e">
        <f t="shared" si="77"/>
        <v>#DIV/0!</v>
      </c>
      <c r="AP32" s="242" t="e">
        <f t="shared" si="78"/>
        <v>#DIV/0!</v>
      </c>
      <c r="AQ32" s="235" t="e">
        <f>IF(AP32+SUM($AQ$12:AQ31)&gt;=0,0,-AP32-SUM($AQ$12:AQ31))</f>
        <v>#DIV/0!</v>
      </c>
      <c r="AR32" s="235">
        <f>IF(SUM($N$13:N31)&gt;=pmo,IF(SUM(N31:$N$501)&gt;(1-pmo),B32,0),0)</f>
        <v>0</v>
      </c>
      <c r="AS32" s="235" t="e">
        <f>IF((SUM($U$13:$U31)/ntudv)&gt;=pmv,IF((SUM($U31:$U$501)/ntudv)&gt;(1-pmv),B32,0),0)</f>
        <v>#DIV/0!</v>
      </c>
      <c r="AT32" s="237" t="e">
        <f>IF(MAX(mmo,mmv)=mmo,IF(B32=AR32,(SUM(N$13:$N31)-pmo)/((1-VLOOKUP(MAX(mmo,mmv)-1,$B$13:$O$501,14))+(VLOOKUP(MAX(mmo,mmv)-1,$B$13:$O$501,14)-pmo)),N31/((1-VLOOKUP(MAX(mmo,mmv)-1,$B$13:$O$501,14)+(VLOOKUP(MAX(mmo,mmv)-1,$B$13:$O$501,14)-pmo)))),N31/(1-VLOOKUP(MAX(mmo,mmv)-2,$B$13:$O$501,14)))</f>
        <v>#DIV/0!</v>
      </c>
      <c r="AU32" s="101" t="e">
        <f t="shared" si="29"/>
        <v>#DIV/0!</v>
      </c>
      <c r="AV32" s="287" t="e">
        <f t="shared" si="30"/>
        <v>#DIV/0!</v>
      </c>
      <c r="AW32" s="235" t="e">
        <f t="shared" si="79"/>
        <v>#DIV/0!</v>
      </c>
      <c r="AX32" s="281">
        <f>IF(B32&gt;mpfo,0,IF(B32=mpfo,(vld-teo*(1+tcfo-incc)^(MAX(mmo,mmv)-mbfo))*-1,IF(SUM($N$13:N31)&gt;=pmo,IF(($V31/ntudv)&gt;=pmv,IF(B32=MAX(mmo,mmv),-teo*(1+tcfo-incc)^(B32-mbfo),0),0),0)))</f>
        <v>0</v>
      </c>
      <c r="AY32" s="292" t="e">
        <f t="shared" si="32"/>
        <v>#DIV/0!</v>
      </c>
      <c r="AZ32" s="235" t="e">
        <f t="shared" si="80"/>
        <v>#DIV/0!</v>
      </c>
      <c r="BA32" s="269" t="e">
        <f t="shared" si="81"/>
        <v>#DIV/0!</v>
      </c>
      <c r="BB32" s="292" t="e">
        <f t="shared" si="82"/>
        <v>#DIV/0!</v>
      </c>
      <c r="BC32" s="238" t="e">
        <f>IF(SUM($BC$13:BC31)&gt;0,0,IF(BB32&gt;0,B32,0))</f>
        <v>#DIV/0!</v>
      </c>
      <c r="BD32" s="292" t="e">
        <f>IF(BB32+SUM($BD$12:BD31)&gt;=0,0,-BB32-SUM($BD$12:BD31))</f>
        <v>#DIV/0!</v>
      </c>
      <c r="BE32" s="235" t="e">
        <f>BB32+SUM($BD$12:BD32)</f>
        <v>#DIV/0!</v>
      </c>
      <c r="BF32" s="292" t="e">
        <f>-MIN(BE32:$BE$501)-SUM(BF$12:$BF31)</f>
        <v>#DIV/0!</v>
      </c>
      <c r="BG32" s="235" t="e">
        <f t="shared" si="47"/>
        <v>#DIV/0!</v>
      </c>
    </row>
    <row r="33" spans="2:59">
      <c r="B33" s="120">
        <v>20</v>
      </c>
      <c r="C33" s="241">
        <f t="shared" si="43"/>
        <v>43286</v>
      </c>
      <c r="D33" s="229">
        <f t="shared" si="48"/>
        <v>7</v>
      </c>
      <c r="E33" s="230" t="str">
        <f t="shared" si="49"/>
        <v>-</v>
      </c>
      <c r="F33" s="231">
        <f t="shared" si="50"/>
        <v>0</v>
      </c>
      <c r="G33" s="231">
        <f t="shared" si="51"/>
        <v>0</v>
      </c>
      <c r="H33" s="231">
        <f t="shared" si="52"/>
        <v>0</v>
      </c>
      <c r="I33" s="268">
        <f t="shared" si="5"/>
        <v>0</v>
      </c>
      <c r="J33" s="269">
        <f t="shared" si="53"/>
        <v>0</v>
      </c>
      <c r="K33" s="269">
        <f t="shared" si="54"/>
        <v>0</v>
      </c>
      <c r="L33" s="269">
        <f t="shared" si="7"/>
        <v>0</v>
      </c>
      <c r="M33" s="269">
        <f t="shared" si="8"/>
        <v>0</v>
      </c>
      <c r="N33" s="233">
        <f>VLOOKUP(B33,Dados!$L$86:$P$90,5)</f>
        <v>2.5000000000000001E-2</v>
      </c>
      <c r="O33" s="270">
        <f t="shared" si="55"/>
        <v>0.15</v>
      </c>
      <c r="P33" s="269">
        <f t="shared" si="56"/>
        <v>0</v>
      </c>
      <c r="Q33" s="269" t="e">
        <f t="shared" si="57"/>
        <v>#DIV/0!</v>
      </c>
      <c r="R33" s="269">
        <f t="shared" si="58"/>
        <v>0</v>
      </c>
      <c r="S33" s="269" t="e">
        <f t="shared" si="59"/>
        <v>#DIV/0!</v>
      </c>
      <c r="T33" s="269" t="e">
        <f t="shared" si="38"/>
        <v>#DIV/0!</v>
      </c>
      <c r="U33" s="234">
        <f t="shared" si="60"/>
        <v>0</v>
      </c>
      <c r="V33" s="232">
        <f t="shared" si="61"/>
        <v>0</v>
      </c>
      <c r="W33" s="269" t="e">
        <f t="shared" si="62"/>
        <v>#DIV/0!</v>
      </c>
      <c r="X33" s="235">
        <f t="shared" si="14"/>
        <v>0</v>
      </c>
      <c r="Y33" s="236">
        <f t="shared" si="63"/>
        <v>2</v>
      </c>
      <c r="Z33" s="236" t="e">
        <f t="shared" si="64"/>
        <v>#DIV/0!</v>
      </c>
      <c r="AA33" s="236">
        <f t="shared" si="65"/>
        <v>1</v>
      </c>
      <c r="AB33" s="236" t="e">
        <f t="shared" si="66"/>
        <v>#DIV/0!</v>
      </c>
      <c r="AC33" s="235" t="e">
        <f t="shared" si="67"/>
        <v>#DIV/0!</v>
      </c>
      <c r="AD33" s="235">
        <f t="shared" si="68"/>
        <v>0</v>
      </c>
      <c r="AE33" s="279" t="e">
        <f t="shared" si="69"/>
        <v>#DIV/0!</v>
      </c>
      <c r="AF33" s="232">
        <f t="shared" si="70"/>
        <v>0</v>
      </c>
      <c r="AG33" s="235">
        <f t="shared" si="71"/>
        <v>2</v>
      </c>
      <c r="AH33" s="269" t="e">
        <f t="shared" si="72"/>
        <v>#DIV/0!</v>
      </c>
      <c r="AI33" s="232">
        <f t="shared" si="73"/>
        <v>0</v>
      </c>
      <c r="AJ33" s="235">
        <f t="shared" si="74"/>
        <v>1</v>
      </c>
      <c r="AK33" s="269" t="e">
        <f t="shared" si="75"/>
        <v>#DIV/0!</v>
      </c>
      <c r="AL33" s="269">
        <f t="shared" si="27"/>
        <v>0</v>
      </c>
      <c r="AM33" s="281">
        <f>IF(B33&gt;=mpfo,pos*vvm*Dados!$E$122*(ntudv-SUM(U34:$U$301))-SUM($AM$13:AM32),0)</f>
        <v>0</v>
      </c>
      <c r="AN33" s="269" t="e">
        <f t="shared" si="76"/>
        <v>#DIV/0!</v>
      </c>
      <c r="AO33" s="232" t="e">
        <f t="shared" si="77"/>
        <v>#DIV/0!</v>
      </c>
      <c r="AP33" s="242" t="e">
        <f t="shared" si="78"/>
        <v>#DIV/0!</v>
      </c>
      <c r="AQ33" s="235" t="e">
        <f>IF(AP33+SUM($AQ$12:AQ32)&gt;=0,0,-AP33-SUM($AQ$12:AQ32))</f>
        <v>#DIV/0!</v>
      </c>
      <c r="AR33" s="235">
        <f>IF(SUM($N$13:N32)&gt;=pmo,IF(SUM(N32:$N$501)&gt;(1-pmo),B33,0),0)</f>
        <v>0</v>
      </c>
      <c r="AS33" s="235" t="e">
        <f>IF((SUM($U$13:$U32)/ntudv)&gt;=pmv,IF((SUM($U32:$U$501)/ntudv)&gt;(1-pmv),B33,0),0)</f>
        <v>#DIV/0!</v>
      </c>
      <c r="AT33" s="237" t="e">
        <f>IF(MAX(mmo,mmv)=mmo,IF(B33=AR33,(SUM(N$13:$N32)-pmo)/((1-VLOOKUP(MAX(mmo,mmv)-1,$B$13:$O$501,14))+(VLOOKUP(MAX(mmo,mmv)-1,$B$13:$O$501,14)-pmo)),N32/((1-VLOOKUP(MAX(mmo,mmv)-1,$B$13:$O$501,14)+(VLOOKUP(MAX(mmo,mmv)-1,$B$13:$O$501,14)-pmo)))),N32/(1-VLOOKUP(MAX(mmo,mmv)-2,$B$13:$O$501,14)))</f>
        <v>#DIV/0!</v>
      </c>
      <c r="AU33" s="101" t="e">
        <f t="shared" si="29"/>
        <v>#DIV/0!</v>
      </c>
      <c r="AV33" s="287" t="e">
        <f t="shared" si="30"/>
        <v>#DIV/0!</v>
      </c>
      <c r="AW33" s="235" t="e">
        <f t="shared" si="79"/>
        <v>#DIV/0!</v>
      </c>
      <c r="AX33" s="281">
        <f>IF(B33&gt;mpfo,0,IF(B33=mpfo,(vld-teo*(1+tcfo-incc)^(MAX(mmo,mmv)-mbfo))*-1,IF(SUM($N$13:N32)&gt;=pmo,IF(($V32/ntudv)&gt;=pmv,IF(B33=MAX(mmo,mmv),-teo*(1+tcfo-incc)^(B33-mbfo),0),0),0)))</f>
        <v>0</v>
      </c>
      <c r="AY33" s="292" t="e">
        <f t="shared" si="32"/>
        <v>#DIV/0!</v>
      </c>
      <c r="AZ33" s="235" t="e">
        <f t="shared" si="80"/>
        <v>#DIV/0!</v>
      </c>
      <c r="BA33" s="269" t="e">
        <f t="shared" si="81"/>
        <v>#DIV/0!</v>
      </c>
      <c r="BB33" s="292" t="e">
        <f t="shared" si="82"/>
        <v>#DIV/0!</v>
      </c>
      <c r="BC33" s="238" t="e">
        <f>IF(SUM($BC$13:BC32)&gt;0,0,IF(BB33&gt;0,B33,0))</f>
        <v>#DIV/0!</v>
      </c>
      <c r="BD33" s="292" t="e">
        <f>IF(BB33+SUM($BD$12:BD32)&gt;=0,0,-BB33-SUM($BD$12:BD32))</f>
        <v>#DIV/0!</v>
      </c>
      <c r="BE33" s="235" t="e">
        <f>BB33+SUM($BD$12:BD33)</f>
        <v>#DIV/0!</v>
      </c>
      <c r="BF33" s="292" t="e">
        <f>-MIN(BE33:$BE$501)-SUM(BF$12:$BF32)</f>
        <v>#DIV/0!</v>
      </c>
      <c r="BG33" s="235" t="e">
        <f t="shared" si="47"/>
        <v>#DIV/0!</v>
      </c>
    </row>
    <row r="34" spans="2:59">
      <c r="B34" s="246">
        <v>21</v>
      </c>
      <c r="C34" s="241">
        <f t="shared" si="43"/>
        <v>43317</v>
      </c>
      <c r="D34" s="229">
        <f t="shared" si="48"/>
        <v>8</v>
      </c>
      <c r="E34" s="230" t="str">
        <f t="shared" si="49"/>
        <v>-</v>
      </c>
      <c r="F34" s="231">
        <f t="shared" si="50"/>
        <v>0</v>
      </c>
      <c r="G34" s="231">
        <f t="shared" si="51"/>
        <v>0</v>
      </c>
      <c r="H34" s="231">
        <f t="shared" si="52"/>
        <v>0</v>
      </c>
      <c r="I34" s="268">
        <f t="shared" si="5"/>
        <v>0</v>
      </c>
      <c r="J34" s="269">
        <f t="shared" si="53"/>
        <v>0</v>
      </c>
      <c r="K34" s="269">
        <f t="shared" si="54"/>
        <v>0</v>
      </c>
      <c r="L34" s="269">
        <f t="shared" si="7"/>
        <v>0</v>
      </c>
      <c r="M34" s="269">
        <f t="shared" si="8"/>
        <v>0</v>
      </c>
      <c r="N34" s="233">
        <f>VLOOKUP(B34,Dados!$L$86:$P$90,5)</f>
        <v>2.5000000000000001E-2</v>
      </c>
      <c r="O34" s="270">
        <f t="shared" si="55"/>
        <v>0.17499999999999999</v>
      </c>
      <c r="P34" s="269">
        <f t="shared" si="56"/>
        <v>0</v>
      </c>
      <c r="Q34" s="269" t="e">
        <f t="shared" si="57"/>
        <v>#DIV/0!</v>
      </c>
      <c r="R34" s="269">
        <f t="shared" si="58"/>
        <v>0</v>
      </c>
      <c r="S34" s="269" t="e">
        <f t="shared" si="59"/>
        <v>#DIV/0!</v>
      </c>
      <c r="T34" s="269" t="e">
        <f t="shared" si="38"/>
        <v>#DIV/0!</v>
      </c>
      <c r="U34" s="234">
        <f t="shared" si="60"/>
        <v>0</v>
      </c>
      <c r="V34" s="232">
        <f t="shared" si="61"/>
        <v>0</v>
      </c>
      <c r="W34" s="269" t="e">
        <f t="shared" si="62"/>
        <v>#DIV/0!</v>
      </c>
      <c r="X34" s="235">
        <f t="shared" si="14"/>
        <v>0</v>
      </c>
      <c r="Y34" s="236">
        <f t="shared" si="63"/>
        <v>2</v>
      </c>
      <c r="Z34" s="236" t="e">
        <f t="shared" si="64"/>
        <v>#DIV/0!</v>
      </c>
      <c r="AA34" s="236">
        <f t="shared" si="65"/>
        <v>1</v>
      </c>
      <c r="AB34" s="236" t="e">
        <f t="shared" si="66"/>
        <v>#DIV/0!</v>
      </c>
      <c r="AC34" s="235" t="e">
        <f t="shared" si="67"/>
        <v>#DIV/0!</v>
      </c>
      <c r="AD34" s="235">
        <f t="shared" si="68"/>
        <v>0</v>
      </c>
      <c r="AE34" s="279" t="e">
        <f t="shared" si="69"/>
        <v>#DIV/0!</v>
      </c>
      <c r="AF34" s="232">
        <f t="shared" si="70"/>
        <v>0</v>
      </c>
      <c r="AG34" s="235">
        <f t="shared" si="71"/>
        <v>2</v>
      </c>
      <c r="AH34" s="269" t="e">
        <f t="shared" si="72"/>
        <v>#DIV/0!</v>
      </c>
      <c r="AI34" s="232">
        <f t="shared" si="73"/>
        <v>0</v>
      </c>
      <c r="AJ34" s="235">
        <f t="shared" si="74"/>
        <v>1</v>
      </c>
      <c r="AK34" s="269" t="e">
        <f t="shared" si="75"/>
        <v>#DIV/0!</v>
      </c>
      <c r="AL34" s="269">
        <f t="shared" si="27"/>
        <v>0</v>
      </c>
      <c r="AM34" s="281">
        <f>IF(B34&gt;=mpfo,pos*vvm*Dados!$E$122*(ntudv-SUM(U35:$U$301))-SUM($AM$13:AM33),0)</f>
        <v>0</v>
      </c>
      <c r="AN34" s="269" t="e">
        <f t="shared" si="76"/>
        <v>#DIV/0!</v>
      </c>
      <c r="AO34" s="232" t="e">
        <f t="shared" si="77"/>
        <v>#DIV/0!</v>
      </c>
      <c r="AP34" s="242" t="e">
        <f t="shared" si="78"/>
        <v>#DIV/0!</v>
      </c>
      <c r="AQ34" s="235" t="e">
        <f>IF(AP34+SUM($AQ$12:AQ33)&gt;=0,0,-AP34-SUM($AQ$12:AQ33))</f>
        <v>#DIV/0!</v>
      </c>
      <c r="AR34" s="235">
        <f>IF(SUM($N$13:N33)&gt;=pmo,IF(SUM(N33:$N$501)&gt;(1-pmo),B34,0),0)</f>
        <v>0</v>
      </c>
      <c r="AS34" s="235" t="e">
        <f>IF((SUM($U$13:$U33)/ntudv)&gt;=pmv,IF((SUM($U33:$U$501)/ntudv)&gt;(1-pmv),B34,0),0)</f>
        <v>#DIV/0!</v>
      </c>
      <c r="AT34" s="237" t="e">
        <f>IF(MAX(mmo,mmv)=mmo,IF(B34=AR34,(SUM(N$13:$N33)-pmo)/((1-VLOOKUP(MAX(mmo,mmv)-1,$B$13:$O$501,14))+(VLOOKUP(MAX(mmo,mmv)-1,$B$13:$O$501,14)-pmo)),N33/((1-VLOOKUP(MAX(mmo,mmv)-1,$B$13:$O$501,14)+(VLOOKUP(MAX(mmo,mmv)-1,$B$13:$O$501,14)-pmo)))),N33/(1-VLOOKUP(MAX(mmo,mmv)-2,$B$13:$O$501,14)))</f>
        <v>#DIV/0!</v>
      </c>
      <c r="AU34" s="101" t="e">
        <f t="shared" si="29"/>
        <v>#DIV/0!</v>
      </c>
      <c r="AV34" s="287" t="e">
        <f t="shared" si="30"/>
        <v>#DIV/0!</v>
      </c>
      <c r="AW34" s="235" t="e">
        <f t="shared" si="79"/>
        <v>#DIV/0!</v>
      </c>
      <c r="AX34" s="281">
        <f>IF(B34&gt;mpfo,0,IF(B34=mpfo,(vld-teo*(1+tcfo-incc)^(MAX(mmo,mmv)-mbfo))*-1,IF(SUM($N$13:N33)&gt;=pmo,IF(($V33/ntudv)&gt;=pmv,IF(B34=MAX(mmo,mmv),-teo*(1+tcfo-incc)^(B34-mbfo),0),0),0)))</f>
        <v>0</v>
      </c>
      <c r="AY34" s="292" t="e">
        <f t="shared" si="32"/>
        <v>#DIV/0!</v>
      </c>
      <c r="AZ34" s="235" t="e">
        <f t="shared" si="80"/>
        <v>#DIV/0!</v>
      </c>
      <c r="BA34" s="269" t="e">
        <f t="shared" si="81"/>
        <v>#DIV/0!</v>
      </c>
      <c r="BB34" s="292" t="e">
        <f t="shared" si="82"/>
        <v>#DIV/0!</v>
      </c>
      <c r="BC34" s="238" t="e">
        <f>IF(SUM($BC$13:BC33)&gt;0,0,IF(BB34&gt;0,B34,0))</f>
        <v>#DIV/0!</v>
      </c>
      <c r="BD34" s="292" t="e">
        <f>IF(BB34+SUM($BD$12:BD33)&gt;=0,0,-BB34-SUM($BD$12:BD33))</f>
        <v>#DIV/0!</v>
      </c>
      <c r="BE34" s="235" t="e">
        <f>BB34+SUM($BD$12:BD34)</f>
        <v>#DIV/0!</v>
      </c>
      <c r="BF34" s="292" t="e">
        <f>-MIN(BE34:$BE$501)-SUM(BF$12:$BF33)</f>
        <v>#DIV/0!</v>
      </c>
      <c r="BG34" s="235" t="e">
        <f t="shared" si="47"/>
        <v>#DIV/0!</v>
      </c>
    </row>
    <row r="35" spans="2:59">
      <c r="B35" s="120">
        <v>22</v>
      </c>
      <c r="C35" s="241">
        <f t="shared" si="43"/>
        <v>43348</v>
      </c>
      <c r="D35" s="229">
        <f t="shared" si="48"/>
        <v>9</v>
      </c>
      <c r="E35" s="230" t="str">
        <f t="shared" si="49"/>
        <v>-</v>
      </c>
      <c r="F35" s="231">
        <f t="shared" si="50"/>
        <v>0</v>
      </c>
      <c r="G35" s="231">
        <f t="shared" si="51"/>
        <v>0</v>
      </c>
      <c r="H35" s="231">
        <f t="shared" si="52"/>
        <v>0</v>
      </c>
      <c r="I35" s="268">
        <f t="shared" si="5"/>
        <v>0</v>
      </c>
      <c r="J35" s="269">
        <f t="shared" si="53"/>
        <v>0</v>
      </c>
      <c r="K35" s="269">
        <f t="shared" si="54"/>
        <v>0</v>
      </c>
      <c r="L35" s="269">
        <f t="shared" si="7"/>
        <v>0</v>
      </c>
      <c r="M35" s="269">
        <f t="shared" si="8"/>
        <v>0</v>
      </c>
      <c r="N35" s="233">
        <f>VLOOKUP(B35,Dados!$L$86:$P$90,5)</f>
        <v>2.5000000000000001E-2</v>
      </c>
      <c r="O35" s="270">
        <f t="shared" si="55"/>
        <v>0.19999999999999998</v>
      </c>
      <c r="P35" s="269">
        <f t="shared" si="56"/>
        <v>0</v>
      </c>
      <c r="Q35" s="269" t="e">
        <f t="shared" si="57"/>
        <v>#DIV/0!</v>
      </c>
      <c r="R35" s="269">
        <f t="shared" si="58"/>
        <v>0</v>
      </c>
      <c r="S35" s="269" t="e">
        <f t="shared" si="59"/>
        <v>#DIV/0!</v>
      </c>
      <c r="T35" s="269" t="e">
        <f t="shared" si="38"/>
        <v>#DIV/0!</v>
      </c>
      <c r="U35" s="234">
        <f t="shared" si="60"/>
        <v>0</v>
      </c>
      <c r="V35" s="232">
        <f t="shared" si="61"/>
        <v>0</v>
      </c>
      <c r="W35" s="269" t="e">
        <f t="shared" si="62"/>
        <v>#DIV/0!</v>
      </c>
      <c r="X35" s="235">
        <f t="shared" si="14"/>
        <v>0</v>
      </c>
      <c r="Y35" s="236">
        <f t="shared" si="63"/>
        <v>2</v>
      </c>
      <c r="Z35" s="236" t="e">
        <f t="shared" si="64"/>
        <v>#DIV/0!</v>
      </c>
      <c r="AA35" s="236">
        <f t="shared" si="65"/>
        <v>1</v>
      </c>
      <c r="AB35" s="236" t="e">
        <f t="shared" si="66"/>
        <v>#DIV/0!</v>
      </c>
      <c r="AC35" s="235" t="e">
        <f t="shared" si="67"/>
        <v>#DIV/0!</v>
      </c>
      <c r="AD35" s="235">
        <f t="shared" si="68"/>
        <v>0</v>
      </c>
      <c r="AE35" s="279" t="e">
        <f t="shared" si="69"/>
        <v>#DIV/0!</v>
      </c>
      <c r="AF35" s="232">
        <f t="shared" si="70"/>
        <v>0</v>
      </c>
      <c r="AG35" s="235">
        <f t="shared" si="71"/>
        <v>2</v>
      </c>
      <c r="AH35" s="269" t="e">
        <f t="shared" si="72"/>
        <v>#DIV/0!</v>
      </c>
      <c r="AI35" s="232">
        <f t="shared" si="73"/>
        <v>0</v>
      </c>
      <c r="AJ35" s="235">
        <f t="shared" si="74"/>
        <v>1</v>
      </c>
      <c r="AK35" s="269" t="e">
        <f t="shared" si="75"/>
        <v>#DIV/0!</v>
      </c>
      <c r="AL35" s="269">
        <f t="shared" si="27"/>
        <v>0</v>
      </c>
      <c r="AM35" s="281">
        <f>IF(B35&gt;=mpfo,pos*vvm*Dados!$E$122*(ntudv-SUM(U36:$U$301))-SUM($AM$13:AM34),0)</f>
        <v>0</v>
      </c>
      <c r="AN35" s="269" t="e">
        <f t="shared" si="76"/>
        <v>#DIV/0!</v>
      </c>
      <c r="AO35" s="232" t="e">
        <f t="shared" si="77"/>
        <v>#DIV/0!</v>
      </c>
      <c r="AP35" s="242" t="e">
        <f t="shared" si="78"/>
        <v>#DIV/0!</v>
      </c>
      <c r="AQ35" s="235" t="e">
        <f>IF(AP35+SUM($AQ$12:AQ34)&gt;=0,0,-AP35-SUM($AQ$12:AQ34))</f>
        <v>#DIV/0!</v>
      </c>
      <c r="AR35" s="235">
        <f>IF(SUM($N$13:N34)&gt;=pmo,IF(SUM(N34:$N$501)&gt;(1-pmo),B35,0),0)</f>
        <v>0</v>
      </c>
      <c r="AS35" s="235" t="e">
        <f>IF((SUM($U$13:$U34)/ntudv)&gt;=pmv,IF((SUM($U34:$U$501)/ntudv)&gt;(1-pmv),B35,0),0)</f>
        <v>#DIV/0!</v>
      </c>
      <c r="AT35" s="237" t="e">
        <f>IF(MAX(mmo,mmv)=mmo,IF(B35=AR35,(SUM(N$13:$N34)-pmo)/((1-VLOOKUP(MAX(mmo,mmv)-1,$B$13:$O$501,14))+(VLOOKUP(MAX(mmo,mmv)-1,$B$13:$O$501,14)-pmo)),N34/((1-VLOOKUP(MAX(mmo,mmv)-1,$B$13:$O$501,14)+(VLOOKUP(MAX(mmo,mmv)-1,$B$13:$O$501,14)-pmo)))),N34/(1-VLOOKUP(MAX(mmo,mmv)-2,$B$13:$O$501,14)))</f>
        <v>#DIV/0!</v>
      </c>
      <c r="AU35" s="101" t="e">
        <f t="shared" si="29"/>
        <v>#DIV/0!</v>
      </c>
      <c r="AV35" s="287" t="e">
        <f t="shared" si="30"/>
        <v>#DIV/0!</v>
      </c>
      <c r="AW35" s="235" t="e">
        <f t="shared" si="79"/>
        <v>#DIV/0!</v>
      </c>
      <c r="AX35" s="281">
        <f>IF(B35&gt;mpfo,0,IF(B35=mpfo,(vld-teo*(1+tcfo-incc)^(MAX(mmo,mmv)-mbfo))*-1,IF(SUM($N$13:N34)&gt;=pmo,IF(($V34/ntudv)&gt;=pmv,IF(B35=MAX(mmo,mmv),-teo*(1+tcfo-incc)^(B35-mbfo),0),0),0)))</f>
        <v>0</v>
      </c>
      <c r="AY35" s="292" t="e">
        <f t="shared" si="32"/>
        <v>#DIV/0!</v>
      </c>
      <c r="AZ35" s="235" t="e">
        <f t="shared" si="80"/>
        <v>#DIV/0!</v>
      </c>
      <c r="BA35" s="269" t="e">
        <f t="shared" si="81"/>
        <v>#DIV/0!</v>
      </c>
      <c r="BB35" s="292" t="e">
        <f t="shared" si="82"/>
        <v>#DIV/0!</v>
      </c>
      <c r="BC35" s="238" t="e">
        <f>IF(SUM($BC$13:BC34)&gt;0,0,IF(BB35&gt;0,B35,0))</f>
        <v>#DIV/0!</v>
      </c>
      <c r="BD35" s="292" t="e">
        <f>IF(BB35+SUM($BD$12:BD34)&gt;=0,0,-BB35-SUM($BD$12:BD34))</f>
        <v>#DIV/0!</v>
      </c>
      <c r="BE35" s="235" t="e">
        <f>BB35+SUM($BD$12:BD35)</f>
        <v>#DIV/0!</v>
      </c>
      <c r="BF35" s="292" t="e">
        <f>-MIN(BE35:$BE$501)-SUM(BF$12:$BF34)</f>
        <v>#DIV/0!</v>
      </c>
      <c r="BG35" s="235" t="e">
        <f t="shared" si="47"/>
        <v>#DIV/0!</v>
      </c>
    </row>
    <row r="36" spans="2:59">
      <c r="B36" s="246">
        <v>23</v>
      </c>
      <c r="C36" s="241">
        <f t="shared" si="43"/>
        <v>43378</v>
      </c>
      <c r="D36" s="229">
        <f t="shared" si="48"/>
        <v>10</v>
      </c>
      <c r="E36" s="230" t="str">
        <f t="shared" si="49"/>
        <v>-</v>
      </c>
      <c r="F36" s="231">
        <f t="shared" si="50"/>
        <v>0</v>
      </c>
      <c r="G36" s="231">
        <f t="shared" si="51"/>
        <v>0</v>
      </c>
      <c r="H36" s="231">
        <f t="shared" si="52"/>
        <v>0</v>
      </c>
      <c r="I36" s="268">
        <f t="shared" si="5"/>
        <v>0</v>
      </c>
      <c r="J36" s="269">
        <f t="shared" si="53"/>
        <v>0</v>
      </c>
      <c r="K36" s="269">
        <f t="shared" si="54"/>
        <v>0</v>
      </c>
      <c r="L36" s="269">
        <f t="shared" si="7"/>
        <v>0</v>
      </c>
      <c r="M36" s="269">
        <f t="shared" si="8"/>
        <v>0</v>
      </c>
      <c r="N36" s="233">
        <f>VLOOKUP(B36,Dados!$L$86:$P$90,5)</f>
        <v>5.2499999999999998E-2</v>
      </c>
      <c r="O36" s="270">
        <f t="shared" si="55"/>
        <v>0.2525</v>
      </c>
      <c r="P36" s="269">
        <f t="shared" si="56"/>
        <v>0</v>
      </c>
      <c r="Q36" s="269" t="e">
        <f t="shared" si="57"/>
        <v>#DIV/0!</v>
      </c>
      <c r="R36" s="269">
        <f t="shared" si="58"/>
        <v>0</v>
      </c>
      <c r="S36" s="269" t="e">
        <f t="shared" si="59"/>
        <v>#DIV/0!</v>
      </c>
      <c r="T36" s="269" t="e">
        <f t="shared" si="38"/>
        <v>#DIV/0!</v>
      </c>
      <c r="U36" s="234">
        <f t="shared" si="60"/>
        <v>0</v>
      </c>
      <c r="V36" s="232">
        <f t="shared" si="61"/>
        <v>0</v>
      </c>
      <c r="W36" s="269" t="e">
        <f t="shared" si="62"/>
        <v>#DIV/0!</v>
      </c>
      <c r="X36" s="235">
        <f t="shared" si="14"/>
        <v>0</v>
      </c>
      <c r="Y36" s="236">
        <f t="shared" si="63"/>
        <v>2</v>
      </c>
      <c r="Z36" s="236" t="e">
        <f t="shared" si="64"/>
        <v>#DIV/0!</v>
      </c>
      <c r="AA36" s="236">
        <f t="shared" si="65"/>
        <v>1</v>
      </c>
      <c r="AB36" s="236" t="e">
        <f t="shared" si="66"/>
        <v>#DIV/0!</v>
      </c>
      <c r="AC36" s="235" t="e">
        <f t="shared" si="67"/>
        <v>#DIV/0!</v>
      </c>
      <c r="AD36" s="235">
        <f t="shared" si="68"/>
        <v>0</v>
      </c>
      <c r="AE36" s="279" t="e">
        <f t="shared" si="69"/>
        <v>#DIV/0!</v>
      </c>
      <c r="AF36" s="232">
        <f t="shared" si="70"/>
        <v>0</v>
      </c>
      <c r="AG36" s="235">
        <f t="shared" si="71"/>
        <v>2</v>
      </c>
      <c r="AH36" s="269" t="e">
        <f t="shared" si="72"/>
        <v>#DIV/0!</v>
      </c>
      <c r="AI36" s="232">
        <f t="shared" si="73"/>
        <v>0</v>
      </c>
      <c r="AJ36" s="235">
        <f t="shared" si="74"/>
        <v>1</v>
      </c>
      <c r="AK36" s="269" t="e">
        <f t="shared" si="75"/>
        <v>#DIV/0!</v>
      </c>
      <c r="AL36" s="269">
        <f t="shared" si="27"/>
        <v>0</v>
      </c>
      <c r="AM36" s="281">
        <f>IF(B36&gt;=mpfo,pos*vvm*Dados!$E$122*(ntudv-SUM(U37:$U$301))-SUM($AM$13:AM35),0)</f>
        <v>0</v>
      </c>
      <c r="AN36" s="269" t="e">
        <f t="shared" si="76"/>
        <v>#DIV/0!</v>
      </c>
      <c r="AO36" s="232" t="e">
        <f t="shared" si="77"/>
        <v>#DIV/0!</v>
      </c>
      <c r="AP36" s="242" t="e">
        <f t="shared" si="78"/>
        <v>#DIV/0!</v>
      </c>
      <c r="AQ36" s="235" t="e">
        <f>IF(AP36+SUM($AQ$12:AQ35)&gt;=0,0,-AP36-SUM($AQ$12:AQ35))</f>
        <v>#DIV/0!</v>
      </c>
      <c r="AR36" s="235">
        <f>IF(SUM($N$13:N35)&gt;=pmo,IF(SUM(N35:$N$501)&gt;(1-pmo),B36,0),0)</f>
        <v>23</v>
      </c>
      <c r="AS36" s="235" t="e">
        <f>IF((SUM($U$13:$U35)/ntudv)&gt;=pmv,IF((SUM($U35:$U$501)/ntudv)&gt;(1-pmv),B36,0),0)</f>
        <v>#DIV/0!</v>
      </c>
      <c r="AT36" s="237" t="e">
        <f>IF(MAX(mmo,mmv)=mmo,IF(B36=AR36,(SUM(N$13:$N35)-pmo)/((1-VLOOKUP(MAX(mmo,mmv)-1,$B$13:$O$501,14))+(VLOOKUP(MAX(mmo,mmv)-1,$B$13:$O$501,14)-pmo)),N35/((1-VLOOKUP(MAX(mmo,mmv)-1,$B$13:$O$501,14)+(VLOOKUP(MAX(mmo,mmv)-1,$B$13:$O$501,14)-pmo)))),N35/(1-VLOOKUP(MAX(mmo,mmv)-2,$B$13:$O$501,14)))</f>
        <v>#DIV/0!</v>
      </c>
      <c r="AU36" s="101" t="e">
        <f t="shared" si="29"/>
        <v>#DIV/0!</v>
      </c>
      <c r="AV36" s="287" t="e">
        <f t="shared" si="30"/>
        <v>#DIV/0!</v>
      </c>
      <c r="AW36" s="235" t="e">
        <f t="shared" si="79"/>
        <v>#DIV/0!</v>
      </c>
      <c r="AX36" s="281" t="e">
        <f>IF(B36&gt;mpfo,0,IF(B36=mpfo,(vld-teo*(1+tcfo-incc)^(MAX(mmo,mmv)-mbfo))*-1,IF(SUM($N$13:N35)&gt;=pmo,IF(($V35/ntudv)&gt;=pmv,IF(B36=MAX(mmo,mmv),-teo*(1+tcfo-incc)^(B36-mbfo),0),0),0)))</f>
        <v>#DIV/0!</v>
      </c>
      <c r="AY36" s="292" t="e">
        <f t="shared" si="32"/>
        <v>#DIV/0!</v>
      </c>
      <c r="AZ36" s="235" t="e">
        <f t="shared" si="80"/>
        <v>#DIV/0!</v>
      </c>
      <c r="BA36" s="269" t="e">
        <f t="shared" si="81"/>
        <v>#DIV/0!</v>
      </c>
      <c r="BB36" s="292" t="e">
        <f t="shared" si="82"/>
        <v>#DIV/0!</v>
      </c>
      <c r="BC36" s="238" t="e">
        <f>IF(SUM($BC$13:BC35)&gt;0,0,IF(BB36&gt;0,B36,0))</f>
        <v>#DIV/0!</v>
      </c>
      <c r="BD36" s="292" t="e">
        <f>IF(BB36+SUM($BD$12:BD35)&gt;=0,0,-BB36-SUM($BD$12:BD35))</f>
        <v>#DIV/0!</v>
      </c>
      <c r="BE36" s="235" t="e">
        <f>BB36+SUM($BD$12:BD36)</f>
        <v>#DIV/0!</v>
      </c>
      <c r="BF36" s="292" t="e">
        <f>-MIN(BE36:$BE$501)-SUM(BF$12:$BF35)</f>
        <v>#DIV/0!</v>
      </c>
      <c r="BG36" s="235" t="e">
        <f t="shared" si="47"/>
        <v>#DIV/0!</v>
      </c>
    </row>
    <row r="37" spans="2:59">
      <c r="B37" s="120">
        <v>24</v>
      </c>
      <c r="C37" s="241">
        <f t="shared" si="43"/>
        <v>43409</v>
      </c>
      <c r="D37" s="229">
        <f t="shared" si="48"/>
        <v>11</v>
      </c>
      <c r="E37" s="230" t="str">
        <f t="shared" si="49"/>
        <v>-</v>
      </c>
      <c r="F37" s="231">
        <f t="shared" si="50"/>
        <v>0</v>
      </c>
      <c r="G37" s="231">
        <f t="shared" si="51"/>
        <v>0</v>
      </c>
      <c r="H37" s="231">
        <f t="shared" si="52"/>
        <v>0</v>
      </c>
      <c r="I37" s="268">
        <f t="shared" si="5"/>
        <v>0</v>
      </c>
      <c r="J37" s="269">
        <f t="shared" si="53"/>
        <v>0</v>
      </c>
      <c r="K37" s="269">
        <f t="shared" si="54"/>
        <v>0</v>
      </c>
      <c r="L37" s="269">
        <f t="shared" si="7"/>
        <v>0</v>
      </c>
      <c r="M37" s="269">
        <f t="shared" si="8"/>
        <v>0</v>
      </c>
      <c r="N37" s="233">
        <f>VLOOKUP(B37,Dados!$L$86:$P$90,5)</f>
        <v>5.2499999999999998E-2</v>
      </c>
      <c r="O37" s="270">
        <f t="shared" si="55"/>
        <v>0.30499999999999999</v>
      </c>
      <c r="P37" s="269">
        <f t="shared" si="56"/>
        <v>0</v>
      </c>
      <c r="Q37" s="269" t="e">
        <f t="shared" si="57"/>
        <v>#DIV/0!</v>
      </c>
      <c r="R37" s="269">
        <f t="shared" si="58"/>
        <v>0</v>
      </c>
      <c r="S37" s="269" t="e">
        <f t="shared" si="59"/>
        <v>#DIV/0!</v>
      </c>
      <c r="T37" s="269" t="e">
        <f t="shared" si="38"/>
        <v>#DIV/0!</v>
      </c>
      <c r="U37" s="234">
        <f t="shared" si="60"/>
        <v>0</v>
      </c>
      <c r="V37" s="232">
        <f t="shared" si="61"/>
        <v>0</v>
      </c>
      <c r="W37" s="269" t="e">
        <f t="shared" si="62"/>
        <v>#DIV/0!</v>
      </c>
      <c r="X37" s="235">
        <f t="shared" si="14"/>
        <v>0</v>
      </c>
      <c r="Y37" s="236">
        <f t="shared" si="63"/>
        <v>2</v>
      </c>
      <c r="Z37" s="236" t="e">
        <f t="shared" si="64"/>
        <v>#DIV/0!</v>
      </c>
      <c r="AA37" s="236">
        <f t="shared" si="65"/>
        <v>1</v>
      </c>
      <c r="AB37" s="236" t="e">
        <f t="shared" si="66"/>
        <v>#DIV/0!</v>
      </c>
      <c r="AC37" s="235" t="e">
        <f t="shared" si="67"/>
        <v>#DIV/0!</v>
      </c>
      <c r="AD37" s="235">
        <f t="shared" si="68"/>
        <v>0</v>
      </c>
      <c r="AE37" s="279" t="e">
        <f t="shared" si="69"/>
        <v>#DIV/0!</v>
      </c>
      <c r="AF37" s="232">
        <f t="shared" si="70"/>
        <v>0</v>
      </c>
      <c r="AG37" s="235">
        <f t="shared" si="71"/>
        <v>2</v>
      </c>
      <c r="AH37" s="269" t="e">
        <f t="shared" si="72"/>
        <v>#DIV/0!</v>
      </c>
      <c r="AI37" s="232">
        <f t="shared" si="73"/>
        <v>0</v>
      </c>
      <c r="AJ37" s="235">
        <f t="shared" si="74"/>
        <v>1</v>
      </c>
      <c r="AK37" s="269" t="e">
        <f t="shared" si="75"/>
        <v>#DIV/0!</v>
      </c>
      <c r="AL37" s="269">
        <f t="shared" si="27"/>
        <v>0</v>
      </c>
      <c r="AM37" s="281">
        <f>IF(B37&gt;=mpfo,pos*vvm*Dados!$E$122*(ntudv-SUM(U38:$U$301))-SUM($AM$13:AM36),0)</f>
        <v>0</v>
      </c>
      <c r="AN37" s="269" t="e">
        <f t="shared" si="76"/>
        <v>#DIV/0!</v>
      </c>
      <c r="AO37" s="232" t="e">
        <f t="shared" si="77"/>
        <v>#DIV/0!</v>
      </c>
      <c r="AP37" s="242" t="e">
        <f t="shared" si="78"/>
        <v>#DIV/0!</v>
      </c>
      <c r="AQ37" s="235" t="e">
        <f>IF(AP37+SUM($AQ$12:AQ36)&gt;=0,0,-AP37-SUM($AQ$12:AQ36))</f>
        <v>#DIV/0!</v>
      </c>
      <c r="AR37" s="235">
        <f>IF(SUM($N$13:N36)&gt;=pmo,IF(SUM(N36:$N$501)&gt;(1-pmo),B37,0),0)</f>
        <v>0</v>
      </c>
      <c r="AS37" s="235" t="e">
        <f>IF((SUM($U$13:$U36)/ntudv)&gt;=pmv,IF((SUM($U36:$U$501)/ntudv)&gt;(1-pmv),B37,0),0)</f>
        <v>#DIV/0!</v>
      </c>
      <c r="AT37" s="237" t="e">
        <f>IF(MAX(mmo,mmv)=mmo,IF(B37=AR37,(SUM(N$13:$N36)-pmo)/((1-VLOOKUP(MAX(mmo,mmv)-1,$B$13:$O$501,14))+(VLOOKUP(MAX(mmo,mmv)-1,$B$13:$O$501,14)-pmo)),N36/((1-VLOOKUP(MAX(mmo,mmv)-1,$B$13:$O$501,14)+(VLOOKUP(MAX(mmo,mmv)-1,$B$13:$O$501,14)-pmo)))),N36/(1-VLOOKUP(MAX(mmo,mmv)-2,$B$13:$O$501,14)))</f>
        <v>#DIV/0!</v>
      </c>
      <c r="AU37" s="101" t="e">
        <f t="shared" si="29"/>
        <v>#DIV/0!</v>
      </c>
      <c r="AV37" s="287" t="e">
        <f t="shared" si="30"/>
        <v>#DIV/0!</v>
      </c>
      <c r="AW37" s="235" t="e">
        <f t="shared" si="79"/>
        <v>#DIV/0!</v>
      </c>
      <c r="AX37" s="281" t="e">
        <f>IF(B37&gt;mpfo,0,IF(B37=mpfo,(vld-teo*(1+tcfo-incc)^(MAX(mmo,mmv)-mbfo))*-1,IF(SUM($N$13:N36)&gt;=pmo,IF(($V36/ntudv)&gt;=pmv,IF(B37=MAX(mmo,mmv),-teo*(1+tcfo-incc)^(B37-mbfo),0),0),0)))</f>
        <v>#DIV/0!</v>
      </c>
      <c r="AY37" s="292" t="e">
        <f t="shared" si="32"/>
        <v>#DIV/0!</v>
      </c>
      <c r="AZ37" s="235" t="e">
        <f t="shared" si="80"/>
        <v>#DIV/0!</v>
      </c>
      <c r="BA37" s="269" t="e">
        <f t="shared" si="81"/>
        <v>#DIV/0!</v>
      </c>
      <c r="BB37" s="292" t="e">
        <f t="shared" si="82"/>
        <v>#DIV/0!</v>
      </c>
      <c r="BC37" s="238" t="e">
        <f>IF(SUM($BC$13:BC36)&gt;0,0,IF(BB37&gt;0,B37,0))</f>
        <v>#DIV/0!</v>
      </c>
      <c r="BD37" s="292" t="e">
        <f>IF(BB37+SUM($BD$12:BD36)&gt;=0,0,-BB37-SUM($BD$12:BD36))</f>
        <v>#DIV/0!</v>
      </c>
      <c r="BE37" s="235" t="e">
        <f>BB37+SUM($BD$12:BD37)</f>
        <v>#DIV/0!</v>
      </c>
      <c r="BF37" s="292" t="e">
        <f>-MIN(BE37:$BE$501)-SUM(BF$12:$BF36)</f>
        <v>#DIV/0!</v>
      </c>
      <c r="BG37" s="235" t="e">
        <f t="shared" si="47"/>
        <v>#DIV/0!</v>
      </c>
    </row>
    <row r="38" spans="2:59">
      <c r="B38" s="246">
        <v>25</v>
      </c>
      <c r="C38" s="241">
        <f t="shared" si="43"/>
        <v>43439</v>
      </c>
      <c r="D38" s="229">
        <f t="shared" si="48"/>
        <v>12</v>
      </c>
      <c r="E38" s="230" t="str">
        <f t="shared" si="49"/>
        <v>-</v>
      </c>
      <c r="F38" s="231">
        <f t="shared" si="50"/>
        <v>0</v>
      </c>
      <c r="G38" s="231">
        <f t="shared" si="51"/>
        <v>0</v>
      </c>
      <c r="H38" s="231">
        <f t="shared" si="52"/>
        <v>0</v>
      </c>
      <c r="I38" s="268">
        <f t="shared" si="5"/>
        <v>0</v>
      </c>
      <c r="J38" s="269">
        <f t="shared" si="53"/>
        <v>0</v>
      </c>
      <c r="K38" s="269">
        <f t="shared" si="54"/>
        <v>0</v>
      </c>
      <c r="L38" s="269">
        <f t="shared" si="7"/>
        <v>0</v>
      </c>
      <c r="M38" s="269">
        <f t="shared" si="8"/>
        <v>0</v>
      </c>
      <c r="N38" s="233">
        <f>VLOOKUP(B38,Dados!$L$86:$P$90,5)</f>
        <v>5.2499999999999998E-2</v>
      </c>
      <c r="O38" s="270">
        <f t="shared" si="55"/>
        <v>0.35749999999999998</v>
      </c>
      <c r="P38" s="269">
        <f t="shared" si="56"/>
        <v>0</v>
      </c>
      <c r="Q38" s="269" t="e">
        <f t="shared" si="57"/>
        <v>#DIV/0!</v>
      </c>
      <c r="R38" s="269">
        <f t="shared" si="58"/>
        <v>0</v>
      </c>
      <c r="S38" s="269" t="e">
        <f t="shared" si="59"/>
        <v>#DIV/0!</v>
      </c>
      <c r="T38" s="269" t="e">
        <f t="shared" si="38"/>
        <v>#DIV/0!</v>
      </c>
      <c r="U38" s="234">
        <f t="shared" si="60"/>
        <v>0</v>
      </c>
      <c r="V38" s="232">
        <f t="shared" si="61"/>
        <v>0</v>
      </c>
      <c r="W38" s="269" t="e">
        <f t="shared" si="62"/>
        <v>#DIV/0!</v>
      </c>
      <c r="X38" s="235">
        <f t="shared" si="14"/>
        <v>0</v>
      </c>
      <c r="Y38" s="236">
        <f t="shared" si="63"/>
        <v>2</v>
      </c>
      <c r="Z38" s="236" t="e">
        <f t="shared" si="64"/>
        <v>#DIV/0!</v>
      </c>
      <c r="AA38" s="236">
        <f t="shared" si="65"/>
        <v>1</v>
      </c>
      <c r="AB38" s="236" t="e">
        <f t="shared" si="66"/>
        <v>#DIV/0!</v>
      </c>
      <c r="AC38" s="235" t="e">
        <f t="shared" si="67"/>
        <v>#DIV/0!</v>
      </c>
      <c r="AD38" s="235">
        <f t="shared" si="68"/>
        <v>0</v>
      </c>
      <c r="AE38" s="279" t="e">
        <f t="shared" si="69"/>
        <v>#DIV/0!</v>
      </c>
      <c r="AF38" s="232">
        <f t="shared" si="70"/>
        <v>1</v>
      </c>
      <c r="AG38" s="235">
        <f t="shared" si="71"/>
        <v>3</v>
      </c>
      <c r="AH38" s="269" t="e">
        <f t="shared" si="72"/>
        <v>#DIV/0!</v>
      </c>
      <c r="AI38" s="232">
        <f t="shared" si="73"/>
        <v>1</v>
      </c>
      <c r="AJ38" s="235">
        <f t="shared" si="74"/>
        <v>2</v>
      </c>
      <c r="AK38" s="269" t="e">
        <f t="shared" si="75"/>
        <v>#DIV/0!</v>
      </c>
      <c r="AL38" s="269">
        <f t="shared" si="27"/>
        <v>0</v>
      </c>
      <c r="AM38" s="281">
        <f>IF(B38&gt;=mpfo,pos*vvm*Dados!$E$122*(ntudv-SUM(U39:$U$301))-SUM($AM$13:AM37),0)</f>
        <v>0</v>
      </c>
      <c r="AN38" s="269" t="e">
        <f t="shared" si="76"/>
        <v>#DIV/0!</v>
      </c>
      <c r="AO38" s="232" t="e">
        <f t="shared" si="77"/>
        <v>#DIV/0!</v>
      </c>
      <c r="AP38" s="242" t="e">
        <f t="shared" si="78"/>
        <v>#DIV/0!</v>
      </c>
      <c r="AQ38" s="235" t="e">
        <f>IF(AP38+SUM($AQ$12:AQ37)&gt;=0,0,-AP38-SUM($AQ$12:AQ37))</f>
        <v>#DIV/0!</v>
      </c>
      <c r="AR38" s="235">
        <f>IF(SUM($N$13:N37)&gt;=pmo,IF(SUM(N37:$N$501)&gt;(1-pmo),B38,0),0)</f>
        <v>0</v>
      </c>
      <c r="AS38" s="235" t="e">
        <f>IF((SUM($U$13:$U37)/ntudv)&gt;=pmv,IF((SUM($U37:$U$501)/ntudv)&gt;(1-pmv),B38,0),0)</f>
        <v>#DIV/0!</v>
      </c>
      <c r="AT38" s="237" t="e">
        <f>IF(MAX(mmo,mmv)=mmo,IF(B38=AR38,(SUM(N$13:$N37)-pmo)/((1-VLOOKUP(MAX(mmo,mmv)-1,$B$13:$O$501,14))+(VLOOKUP(MAX(mmo,mmv)-1,$B$13:$O$501,14)-pmo)),N37/((1-VLOOKUP(MAX(mmo,mmv)-1,$B$13:$O$501,14)+(VLOOKUP(MAX(mmo,mmv)-1,$B$13:$O$501,14)-pmo)))),N37/(1-VLOOKUP(MAX(mmo,mmv)-2,$B$13:$O$501,14)))</f>
        <v>#DIV/0!</v>
      </c>
      <c r="AU38" s="101" t="e">
        <f t="shared" si="29"/>
        <v>#DIV/0!</v>
      </c>
      <c r="AV38" s="287" t="e">
        <f t="shared" si="30"/>
        <v>#DIV/0!</v>
      </c>
      <c r="AW38" s="235" t="e">
        <f t="shared" si="79"/>
        <v>#DIV/0!</v>
      </c>
      <c r="AX38" s="281" t="e">
        <f>IF(B38&gt;mpfo,0,IF(B38=mpfo,(vld-teo*(1+tcfo-incc)^(MAX(mmo,mmv)-mbfo))*-1,IF(SUM($N$13:N37)&gt;=pmo,IF(($V37/ntudv)&gt;=pmv,IF(B38=MAX(mmo,mmv),-teo*(1+tcfo-incc)^(B38-mbfo),0),0),0)))</f>
        <v>#DIV/0!</v>
      </c>
      <c r="AY38" s="292" t="e">
        <f t="shared" si="32"/>
        <v>#DIV/0!</v>
      </c>
      <c r="AZ38" s="235" t="e">
        <f t="shared" si="80"/>
        <v>#DIV/0!</v>
      </c>
      <c r="BA38" s="269" t="e">
        <f t="shared" si="81"/>
        <v>#DIV/0!</v>
      </c>
      <c r="BB38" s="292" t="e">
        <f t="shared" si="82"/>
        <v>#DIV/0!</v>
      </c>
      <c r="BC38" s="238" t="e">
        <f>IF(SUM($BC$13:BC37)&gt;0,0,IF(BB38&gt;0,B38,0))</f>
        <v>#DIV/0!</v>
      </c>
      <c r="BD38" s="292" t="e">
        <f>IF(BB38+SUM($BD$12:BD37)&gt;=0,0,-BB38-SUM($BD$12:BD37))</f>
        <v>#DIV/0!</v>
      </c>
      <c r="BE38" s="235" t="e">
        <f>BB38+SUM($BD$12:BD38)</f>
        <v>#DIV/0!</v>
      </c>
      <c r="BF38" s="292" t="e">
        <f>-MIN(BE38:$BE$501)-SUM(BF$12:$BF37)</f>
        <v>#DIV/0!</v>
      </c>
      <c r="BG38" s="235" t="e">
        <f t="shared" si="47"/>
        <v>#DIV/0!</v>
      </c>
    </row>
    <row r="39" spans="2:59">
      <c r="B39" s="120">
        <v>26</v>
      </c>
      <c r="C39" s="241">
        <f t="shared" si="43"/>
        <v>43470</v>
      </c>
      <c r="D39" s="229">
        <f t="shared" si="48"/>
        <v>1</v>
      </c>
      <c r="E39" s="230" t="str">
        <f t="shared" si="49"/>
        <v>-</v>
      </c>
      <c r="F39" s="231">
        <f t="shared" si="50"/>
        <v>0</v>
      </c>
      <c r="G39" s="231">
        <f t="shared" si="51"/>
        <v>0</v>
      </c>
      <c r="H39" s="231">
        <f t="shared" si="52"/>
        <v>0</v>
      </c>
      <c r="I39" s="268">
        <f t="shared" si="5"/>
        <v>0</v>
      </c>
      <c r="J39" s="269">
        <f t="shared" si="53"/>
        <v>0</v>
      </c>
      <c r="K39" s="269">
        <f t="shared" si="54"/>
        <v>0</v>
      </c>
      <c r="L39" s="269">
        <f t="shared" si="7"/>
        <v>0</v>
      </c>
      <c r="M39" s="269">
        <f t="shared" si="8"/>
        <v>0</v>
      </c>
      <c r="N39" s="233">
        <f>VLOOKUP(B39,Dados!$L$86:$P$90,5)</f>
        <v>5.2499999999999998E-2</v>
      </c>
      <c r="O39" s="270">
        <f t="shared" si="55"/>
        <v>0.41</v>
      </c>
      <c r="P39" s="269">
        <f t="shared" si="56"/>
        <v>0</v>
      </c>
      <c r="Q39" s="269" t="e">
        <f t="shared" si="57"/>
        <v>#DIV/0!</v>
      </c>
      <c r="R39" s="269">
        <f t="shared" si="58"/>
        <v>0</v>
      </c>
      <c r="S39" s="269" t="e">
        <f t="shared" si="59"/>
        <v>#DIV/0!</v>
      </c>
      <c r="T39" s="269" t="e">
        <f t="shared" si="38"/>
        <v>#DIV/0!</v>
      </c>
      <c r="U39" s="234">
        <f t="shared" si="60"/>
        <v>0</v>
      </c>
      <c r="V39" s="232">
        <f t="shared" si="61"/>
        <v>0</v>
      </c>
      <c r="W39" s="269" t="e">
        <f t="shared" si="62"/>
        <v>#DIV/0!</v>
      </c>
      <c r="X39" s="235">
        <f t="shared" si="14"/>
        <v>0</v>
      </c>
      <c r="Y39" s="236">
        <f t="shared" si="63"/>
        <v>3</v>
      </c>
      <c r="Z39" s="236" t="e">
        <f t="shared" si="64"/>
        <v>#DIV/0!</v>
      </c>
      <c r="AA39" s="236">
        <f t="shared" si="65"/>
        <v>2</v>
      </c>
      <c r="AB39" s="236" t="e">
        <f t="shared" si="66"/>
        <v>#DIV/0!</v>
      </c>
      <c r="AC39" s="235" t="e">
        <f t="shared" si="67"/>
        <v>#DIV/0!</v>
      </c>
      <c r="AD39" s="235">
        <f t="shared" si="68"/>
        <v>0</v>
      </c>
      <c r="AE39" s="279" t="e">
        <f t="shared" si="69"/>
        <v>#DIV/0!</v>
      </c>
      <c r="AF39" s="232">
        <f t="shared" si="70"/>
        <v>0</v>
      </c>
      <c r="AG39" s="235">
        <f t="shared" si="71"/>
        <v>3</v>
      </c>
      <c r="AH39" s="269" t="e">
        <f t="shared" si="72"/>
        <v>#DIV/0!</v>
      </c>
      <c r="AI39" s="232">
        <f t="shared" si="73"/>
        <v>0</v>
      </c>
      <c r="AJ39" s="235">
        <f t="shared" si="74"/>
        <v>2</v>
      </c>
      <c r="AK39" s="269" t="e">
        <f t="shared" si="75"/>
        <v>#DIV/0!</v>
      </c>
      <c r="AL39" s="269">
        <f t="shared" si="27"/>
        <v>0</v>
      </c>
      <c r="AM39" s="281">
        <f>IF(B39&gt;=mpfo,pos*vvm*Dados!$E$122*(ntudv-SUM(U40:$U$301))-SUM($AM$13:AM38),0)</f>
        <v>0</v>
      </c>
      <c r="AN39" s="269" t="e">
        <f t="shared" si="76"/>
        <v>#DIV/0!</v>
      </c>
      <c r="AO39" s="232" t="e">
        <f t="shared" si="77"/>
        <v>#DIV/0!</v>
      </c>
      <c r="AP39" s="242" t="e">
        <f t="shared" si="78"/>
        <v>#DIV/0!</v>
      </c>
      <c r="AQ39" s="235" t="e">
        <f>IF(AP39+SUM($AQ$12:AQ38)&gt;=0,0,-AP39-SUM($AQ$12:AQ38))</f>
        <v>#DIV/0!</v>
      </c>
      <c r="AR39" s="235">
        <f>IF(SUM($N$13:N38)&gt;=pmo,IF(SUM(N38:$N$501)&gt;(1-pmo),B39,0),0)</f>
        <v>0</v>
      </c>
      <c r="AS39" s="235" t="e">
        <f>IF((SUM($U$13:$U38)/ntudv)&gt;=pmv,IF((SUM($U38:$U$501)/ntudv)&gt;(1-pmv),B39,0),0)</f>
        <v>#DIV/0!</v>
      </c>
      <c r="AT39" s="237" t="e">
        <f>IF(MAX(mmo,mmv)=mmo,IF(B39=AR39,(SUM(N$13:$N38)-pmo)/((1-VLOOKUP(MAX(mmo,mmv)-1,$B$13:$O$501,14))+(VLOOKUP(MAX(mmo,mmv)-1,$B$13:$O$501,14)-pmo)),N38/((1-VLOOKUP(MAX(mmo,mmv)-1,$B$13:$O$501,14)+(VLOOKUP(MAX(mmo,mmv)-1,$B$13:$O$501,14)-pmo)))),N38/(1-VLOOKUP(MAX(mmo,mmv)-2,$B$13:$O$501,14)))</f>
        <v>#DIV/0!</v>
      </c>
      <c r="AU39" s="101" t="e">
        <f t="shared" si="29"/>
        <v>#DIV/0!</v>
      </c>
      <c r="AV39" s="287" t="e">
        <f t="shared" si="30"/>
        <v>#DIV/0!</v>
      </c>
      <c r="AW39" s="235" t="e">
        <f t="shared" si="79"/>
        <v>#DIV/0!</v>
      </c>
      <c r="AX39" s="281" t="e">
        <f>IF(B39&gt;mpfo,0,IF(B39=mpfo,(vld-teo*(1+tcfo-incc)^(MAX(mmo,mmv)-mbfo))*-1,IF(SUM($N$13:N38)&gt;=pmo,IF(($V38/ntudv)&gt;=pmv,IF(B39=MAX(mmo,mmv),-teo*(1+tcfo-incc)^(B39-mbfo),0),0),0)))</f>
        <v>#DIV/0!</v>
      </c>
      <c r="AY39" s="292" t="e">
        <f t="shared" si="32"/>
        <v>#DIV/0!</v>
      </c>
      <c r="AZ39" s="235" t="e">
        <f t="shared" si="80"/>
        <v>#DIV/0!</v>
      </c>
      <c r="BA39" s="269" t="e">
        <f t="shared" si="81"/>
        <v>#DIV/0!</v>
      </c>
      <c r="BB39" s="292" t="e">
        <f t="shared" si="82"/>
        <v>#DIV/0!</v>
      </c>
      <c r="BC39" s="238" t="e">
        <f>IF(SUM($BC$13:BC38)&gt;0,0,IF(BB39&gt;0,B39,0))</f>
        <v>#DIV/0!</v>
      </c>
      <c r="BD39" s="292" t="e">
        <f>IF(BB39+SUM($BD$12:BD38)&gt;=0,0,-BB39-SUM($BD$12:BD38))</f>
        <v>#DIV/0!</v>
      </c>
      <c r="BE39" s="235" t="e">
        <f>BB39+SUM($BD$12:BD39)</f>
        <v>#DIV/0!</v>
      </c>
      <c r="BF39" s="292" t="e">
        <f>-MIN(BE39:$BE$501)-SUM(BF$12:$BF38)</f>
        <v>#DIV/0!</v>
      </c>
      <c r="BG39" s="235" t="e">
        <f t="shared" si="47"/>
        <v>#DIV/0!</v>
      </c>
    </row>
    <row r="40" spans="2:59">
      <c r="B40" s="246">
        <v>27</v>
      </c>
      <c r="C40" s="241">
        <f t="shared" si="43"/>
        <v>43501</v>
      </c>
      <c r="D40" s="229">
        <f t="shared" si="48"/>
        <v>2</v>
      </c>
      <c r="E40" s="230" t="str">
        <f t="shared" si="49"/>
        <v>-</v>
      </c>
      <c r="F40" s="231">
        <f t="shared" si="50"/>
        <v>0</v>
      </c>
      <c r="G40" s="231">
        <f t="shared" si="51"/>
        <v>0</v>
      </c>
      <c r="H40" s="231">
        <f t="shared" si="52"/>
        <v>0</v>
      </c>
      <c r="I40" s="268">
        <f t="shared" si="5"/>
        <v>0</v>
      </c>
      <c r="J40" s="269">
        <f t="shared" si="53"/>
        <v>0</v>
      </c>
      <c r="K40" s="269">
        <f t="shared" si="54"/>
        <v>0</v>
      </c>
      <c r="L40" s="269">
        <f t="shared" si="7"/>
        <v>0</v>
      </c>
      <c r="M40" s="269">
        <f t="shared" si="8"/>
        <v>0</v>
      </c>
      <c r="N40" s="233">
        <f>VLOOKUP(B40,Dados!$L$86:$P$90,5)</f>
        <v>5.2499999999999998E-2</v>
      </c>
      <c r="O40" s="270">
        <f t="shared" si="55"/>
        <v>0.46249999999999997</v>
      </c>
      <c r="P40" s="269">
        <f t="shared" si="56"/>
        <v>0</v>
      </c>
      <c r="Q40" s="269" t="e">
        <f t="shared" si="57"/>
        <v>#DIV/0!</v>
      </c>
      <c r="R40" s="269">
        <f t="shared" si="58"/>
        <v>0</v>
      </c>
      <c r="S40" s="269" t="e">
        <f t="shared" si="59"/>
        <v>#DIV/0!</v>
      </c>
      <c r="T40" s="269" t="e">
        <f t="shared" si="38"/>
        <v>#DIV/0!</v>
      </c>
      <c r="U40" s="234">
        <f t="shared" si="60"/>
        <v>0</v>
      </c>
      <c r="V40" s="232">
        <f t="shared" si="61"/>
        <v>0</v>
      </c>
      <c r="W40" s="269" t="e">
        <f t="shared" si="62"/>
        <v>#DIV/0!</v>
      </c>
      <c r="X40" s="235">
        <f t="shared" si="14"/>
        <v>0</v>
      </c>
      <c r="Y40" s="236">
        <f t="shared" si="63"/>
        <v>3</v>
      </c>
      <c r="Z40" s="236" t="e">
        <f t="shared" si="64"/>
        <v>#DIV/0!</v>
      </c>
      <c r="AA40" s="236">
        <f t="shared" si="65"/>
        <v>2</v>
      </c>
      <c r="AB40" s="236" t="e">
        <f t="shared" si="66"/>
        <v>#DIV/0!</v>
      </c>
      <c r="AC40" s="235" t="e">
        <f t="shared" si="67"/>
        <v>#DIV/0!</v>
      </c>
      <c r="AD40" s="235">
        <f t="shared" si="68"/>
        <v>0</v>
      </c>
      <c r="AE40" s="279" t="e">
        <f t="shared" si="69"/>
        <v>#DIV/0!</v>
      </c>
      <c r="AF40" s="232">
        <f t="shared" si="70"/>
        <v>0</v>
      </c>
      <c r="AG40" s="235">
        <f t="shared" si="71"/>
        <v>3</v>
      </c>
      <c r="AH40" s="269" t="e">
        <f t="shared" si="72"/>
        <v>#DIV/0!</v>
      </c>
      <c r="AI40" s="232">
        <f t="shared" si="73"/>
        <v>0</v>
      </c>
      <c r="AJ40" s="235">
        <f t="shared" si="74"/>
        <v>2</v>
      </c>
      <c r="AK40" s="269" t="e">
        <f t="shared" si="75"/>
        <v>#DIV/0!</v>
      </c>
      <c r="AL40" s="269">
        <f t="shared" si="27"/>
        <v>0</v>
      </c>
      <c r="AM40" s="281">
        <f>IF(B40&gt;=mpfo,pos*vvm*Dados!$E$122*(ntudv-SUM(U41:$U$301))-SUM($AM$13:AM39),0)</f>
        <v>0</v>
      </c>
      <c r="AN40" s="269" t="e">
        <f t="shared" si="76"/>
        <v>#DIV/0!</v>
      </c>
      <c r="AO40" s="232" t="e">
        <f t="shared" si="77"/>
        <v>#DIV/0!</v>
      </c>
      <c r="AP40" s="242" t="e">
        <f t="shared" si="78"/>
        <v>#DIV/0!</v>
      </c>
      <c r="AQ40" s="235" t="e">
        <f>IF(AP40+SUM($AQ$12:AQ39)&gt;=0,0,-AP40-SUM($AQ$12:AQ39))</f>
        <v>#DIV/0!</v>
      </c>
      <c r="AR40" s="235">
        <f>IF(SUM($N$13:N39)&gt;=pmo,IF(SUM(N39:$N$501)&gt;(1-pmo),B40,0),0)</f>
        <v>0</v>
      </c>
      <c r="AS40" s="235" t="e">
        <f>IF((SUM($U$13:$U39)/ntudv)&gt;=pmv,IF((SUM($U39:$U$501)/ntudv)&gt;(1-pmv),B40,0),0)</f>
        <v>#DIV/0!</v>
      </c>
      <c r="AT40" s="237" t="e">
        <f>IF(MAX(mmo,mmv)=mmo,IF(B40=AR40,(SUM(N$13:$N39)-pmo)/((1-VLOOKUP(MAX(mmo,mmv)-1,$B$13:$O$501,14))+(VLOOKUP(MAX(mmo,mmv)-1,$B$13:$O$501,14)-pmo)),N39/((1-VLOOKUP(MAX(mmo,mmv)-1,$B$13:$O$501,14)+(VLOOKUP(MAX(mmo,mmv)-1,$B$13:$O$501,14)-pmo)))),N39/(1-VLOOKUP(MAX(mmo,mmv)-2,$B$13:$O$501,14)))</f>
        <v>#DIV/0!</v>
      </c>
      <c r="AU40" s="101" t="e">
        <f t="shared" si="29"/>
        <v>#DIV/0!</v>
      </c>
      <c r="AV40" s="287" t="e">
        <f t="shared" si="30"/>
        <v>#DIV/0!</v>
      </c>
      <c r="AW40" s="235" t="e">
        <f t="shared" si="79"/>
        <v>#DIV/0!</v>
      </c>
      <c r="AX40" s="281" t="e">
        <f>IF(B40&gt;mpfo,0,IF(B40=mpfo,(vld-teo*(1+tcfo-incc)^(MAX(mmo,mmv)-mbfo))*-1,IF(SUM($N$13:N39)&gt;=pmo,IF(($V39/ntudv)&gt;=pmv,IF(B40=MAX(mmo,mmv),-teo*(1+tcfo-incc)^(B40-mbfo),0),0),0)))</f>
        <v>#DIV/0!</v>
      </c>
      <c r="AY40" s="292" t="e">
        <f t="shared" si="32"/>
        <v>#DIV/0!</v>
      </c>
      <c r="AZ40" s="235" t="e">
        <f t="shared" si="80"/>
        <v>#DIV/0!</v>
      </c>
      <c r="BA40" s="269" t="e">
        <f t="shared" si="81"/>
        <v>#DIV/0!</v>
      </c>
      <c r="BB40" s="292" t="e">
        <f t="shared" si="82"/>
        <v>#DIV/0!</v>
      </c>
      <c r="BC40" s="238" t="e">
        <f>IF(SUM($BC$13:BC39)&gt;0,0,IF(BB40&gt;0,B40,0))</f>
        <v>#DIV/0!</v>
      </c>
      <c r="BD40" s="292" t="e">
        <f>IF(BB40+SUM($BD$12:BD39)&gt;=0,0,-BB40-SUM($BD$12:BD39))</f>
        <v>#DIV/0!</v>
      </c>
      <c r="BE40" s="235" t="e">
        <f>BB40+SUM($BD$12:BD40)</f>
        <v>#DIV/0!</v>
      </c>
      <c r="BF40" s="292" t="e">
        <f>-MIN(BE40:$BE$501)-SUM(BF$12:$BF39)</f>
        <v>#DIV/0!</v>
      </c>
      <c r="BG40" s="235" t="e">
        <f t="shared" si="47"/>
        <v>#DIV/0!</v>
      </c>
    </row>
    <row r="41" spans="2:59">
      <c r="B41" s="120">
        <v>28</v>
      </c>
      <c r="C41" s="241">
        <f t="shared" si="43"/>
        <v>43529</v>
      </c>
      <c r="D41" s="229">
        <f t="shared" si="48"/>
        <v>3</v>
      </c>
      <c r="E41" s="230" t="str">
        <f t="shared" si="49"/>
        <v>-</v>
      </c>
      <c r="F41" s="231">
        <f t="shared" si="50"/>
        <v>0</v>
      </c>
      <c r="G41" s="231">
        <f t="shared" si="51"/>
        <v>0</v>
      </c>
      <c r="H41" s="231">
        <f t="shared" si="52"/>
        <v>0</v>
      </c>
      <c r="I41" s="268">
        <f t="shared" si="5"/>
        <v>0</v>
      </c>
      <c r="J41" s="269">
        <f t="shared" si="53"/>
        <v>0</v>
      </c>
      <c r="K41" s="269">
        <f t="shared" si="54"/>
        <v>0</v>
      </c>
      <c r="L41" s="269">
        <f t="shared" si="7"/>
        <v>0</v>
      </c>
      <c r="M41" s="269">
        <f t="shared" si="8"/>
        <v>0</v>
      </c>
      <c r="N41" s="233">
        <f>VLOOKUP(B41,Dados!$L$86:$P$90,5)</f>
        <v>5.2499999999999998E-2</v>
      </c>
      <c r="O41" s="270">
        <f t="shared" si="55"/>
        <v>0.51500000000000001</v>
      </c>
      <c r="P41" s="269">
        <f t="shared" si="56"/>
        <v>0</v>
      </c>
      <c r="Q41" s="269" t="e">
        <f t="shared" si="57"/>
        <v>#DIV/0!</v>
      </c>
      <c r="R41" s="269">
        <f t="shared" si="58"/>
        <v>0</v>
      </c>
      <c r="S41" s="269" t="e">
        <f t="shared" si="59"/>
        <v>#DIV/0!</v>
      </c>
      <c r="T41" s="269" t="e">
        <f t="shared" si="38"/>
        <v>#DIV/0!</v>
      </c>
      <c r="U41" s="234">
        <f t="shared" si="60"/>
        <v>0</v>
      </c>
      <c r="V41" s="232">
        <f t="shared" si="61"/>
        <v>0</v>
      </c>
      <c r="W41" s="269" t="e">
        <f t="shared" si="62"/>
        <v>#DIV/0!</v>
      </c>
      <c r="X41" s="235">
        <f t="shared" si="14"/>
        <v>0</v>
      </c>
      <c r="Y41" s="236">
        <f t="shared" si="63"/>
        <v>3</v>
      </c>
      <c r="Z41" s="236" t="e">
        <f t="shared" si="64"/>
        <v>#DIV/0!</v>
      </c>
      <c r="AA41" s="236">
        <f t="shared" si="65"/>
        <v>2</v>
      </c>
      <c r="AB41" s="236" t="e">
        <f t="shared" si="66"/>
        <v>#DIV/0!</v>
      </c>
      <c r="AC41" s="235" t="e">
        <f t="shared" si="67"/>
        <v>#DIV/0!</v>
      </c>
      <c r="AD41" s="235">
        <f t="shared" si="68"/>
        <v>0</v>
      </c>
      <c r="AE41" s="279" t="e">
        <f t="shared" si="69"/>
        <v>#DIV/0!</v>
      </c>
      <c r="AF41" s="232">
        <f t="shared" si="70"/>
        <v>0</v>
      </c>
      <c r="AG41" s="235">
        <f t="shared" si="71"/>
        <v>3</v>
      </c>
      <c r="AH41" s="269" t="e">
        <f t="shared" si="72"/>
        <v>#DIV/0!</v>
      </c>
      <c r="AI41" s="232">
        <f t="shared" si="73"/>
        <v>0</v>
      </c>
      <c r="AJ41" s="235">
        <f t="shared" si="74"/>
        <v>2</v>
      </c>
      <c r="AK41" s="269" t="e">
        <f t="shared" si="75"/>
        <v>#DIV/0!</v>
      </c>
      <c r="AL41" s="269">
        <f t="shared" si="27"/>
        <v>0</v>
      </c>
      <c r="AM41" s="281">
        <f>IF(B41&gt;=mpfo,pos*vvm*Dados!$E$122*(ntudv-SUM(U42:$U$301))-SUM($AM$13:AM40),0)</f>
        <v>0</v>
      </c>
      <c r="AN41" s="269" t="e">
        <f t="shared" si="76"/>
        <v>#DIV/0!</v>
      </c>
      <c r="AO41" s="232" t="e">
        <f t="shared" si="77"/>
        <v>#DIV/0!</v>
      </c>
      <c r="AP41" s="242" t="e">
        <f t="shared" si="78"/>
        <v>#DIV/0!</v>
      </c>
      <c r="AQ41" s="235" t="e">
        <f>IF(AP41+SUM($AQ$12:AQ40)&gt;=0,0,-AP41-SUM($AQ$12:AQ40))</f>
        <v>#DIV/0!</v>
      </c>
      <c r="AR41" s="235">
        <f>IF(SUM($N$13:N40)&gt;=pmo,IF(SUM(N40:$N$501)&gt;(1-pmo),B41,0),0)</f>
        <v>0</v>
      </c>
      <c r="AS41" s="235" t="e">
        <f>IF((SUM($U$13:$U40)/ntudv)&gt;=pmv,IF((SUM($U40:$U$501)/ntudv)&gt;(1-pmv),B41,0),0)</f>
        <v>#DIV/0!</v>
      </c>
      <c r="AT41" s="237" t="e">
        <f>IF(MAX(mmo,mmv)=mmo,IF(B41=AR41,(SUM(N$13:$N40)-pmo)/((1-VLOOKUP(MAX(mmo,mmv)-1,$B$13:$O$501,14))+(VLOOKUP(MAX(mmo,mmv)-1,$B$13:$O$501,14)-pmo)),N40/((1-VLOOKUP(MAX(mmo,mmv)-1,$B$13:$O$501,14)+(VLOOKUP(MAX(mmo,mmv)-1,$B$13:$O$501,14)-pmo)))),N40/(1-VLOOKUP(MAX(mmo,mmv)-2,$B$13:$O$501,14)))</f>
        <v>#DIV/0!</v>
      </c>
      <c r="AU41" s="101" t="e">
        <f t="shared" si="29"/>
        <v>#DIV/0!</v>
      </c>
      <c r="AV41" s="287" t="e">
        <f t="shared" si="30"/>
        <v>#DIV/0!</v>
      </c>
      <c r="AW41" s="235" t="e">
        <f t="shared" si="79"/>
        <v>#DIV/0!</v>
      </c>
      <c r="AX41" s="281" t="e">
        <f>IF(B41&gt;mpfo,0,IF(B41=mpfo,(vld-teo*(1+tcfo-incc)^(MAX(mmo,mmv)-mbfo))*-1,IF(SUM($N$13:N40)&gt;=pmo,IF(($V40/ntudv)&gt;=pmv,IF(B41=MAX(mmo,mmv),-teo*(1+tcfo-incc)^(B41-mbfo),0),0),0)))</f>
        <v>#DIV/0!</v>
      </c>
      <c r="AY41" s="292" t="e">
        <f t="shared" si="32"/>
        <v>#DIV/0!</v>
      </c>
      <c r="AZ41" s="235" t="e">
        <f t="shared" si="80"/>
        <v>#DIV/0!</v>
      </c>
      <c r="BA41" s="269" t="e">
        <f t="shared" si="81"/>
        <v>#DIV/0!</v>
      </c>
      <c r="BB41" s="292" t="e">
        <f t="shared" si="82"/>
        <v>#DIV/0!</v>
      </c>
      <c r="BC41" s="238" t="e">
        <f>IF(SUM($BC$13:BC40)&gt;0,0,IF(BB41&gt;0,B41,0))</f>
        <v>#DIV/0!</v>
      </c>
      <c r="BD41" s="292" t="e">
        <f>IF(BB41+SUM($BD$12:BD40)&gt;=0,0,-BB41-SUM($BD$12:BD40))</f>
        <v>#DIV/0!</v>
      </c>
      <c r="BE41" s="235" t="e">
        <f>BB41+SUM($BD$12:BD41)</f>
        <v>#DIV/0!</v>
      </c>
      <c r="BF41" s="292" t="e">
        <f>-MIN(BE41:$BE$501)-SUM(BF$12:$BF40)</f>
        <v>#DIV/0!</v>
      </c>
      <c r="BG41" s="235" t="e">
        <f t="shared" si="47"/>
        <v>#DIV/0!</v>
      </c>
    </row>
    <row r="42" spans="2:59">
      <c r="B42" s="246">
        <v>29</v>
      </c>
      <c r="C42" s="241">
        <f t="shared" si="43"/>
        <v>43560</v>
      </c>
      <c r="D42" s="229">
        <f t="shared" si="48"/>
        <v>4</v>
      </c>
      <c r="E42" s="230" t="str">
        <f t="shared" si="49"/>
        <v>-</v>
      </c>
      <c r="F42" s="231">
        <f t="shared" si="50"/>
        <v>0</v>
      </c>
      <c r="G42" s="231">
        <f t="shared" si="51"/>
        <v>0</v>
      </c>
      <c r="H42" s="231">
        <f t="shared" si="52"/>
        <v>0</v>
      </c>
      <c r="I42" s="268">
        <f t="shared" si="5"/>
        <v>0</v>
      </c>
      <c r="J42" s="269">
        <f t="shared" si="53"/>
        <v>0</v>
      </c>
      <c r="K42" s="269">
        <f t="shared" si="54"/>
        <v>0</v>
      </c>
      <c r="L42" s="269">
        <f t="shared" si="7"/>
        <v>0</v>
      </c>
      <c r="M42" s="269">
        <f t="shared" si="8"/>
        <v>0</v>
      </c>
      <c r="N42" s="233">
        <f>VLOOKUP(B42,Dados!$L$86:$P$90,5)</f>
        <v>5.2499999999999998E-2</v>
      </c>
      <c r="O42" s="270">
        <f t="shared" si="55"/>
        <v>0.5675</v>
      </c>
      <c r="P42" s="269">
        <f t="shared" si="56"/>
        <v>0</v>
      </c>
      <c r="Q42" s="269" t="e">
        <f t="shared" si="57"/>
        <v>#DIV/0!</v>
      </c>
      <c r="R42" s="269">
        <f t="shared" si="58"/>
        <v>0</v>
      </c>
      <c r="S42" s="269" t="e">
        <f t="shared" si="59"/>
        <v>#DIV/0!</v>
      </c>
      <c r="T42" s="269" t="e">
        <f t="shared" si="38"/>
        <v>#DIV/0!</v>
      </c>
      <c r="U42" s="234">
        <f t="shared" si="60"/>
        <v>0</v>
      </c>
      <c r="V42" s="232">
        <f t="shared" si="61"/>
        <v>0</v>
      </c>
      <c r="W42" s="269" t="e">
        <f t="shared" si="62"/>
        <v>#DIV/0!</v>
      </c>
      <c r="X42" s="235">
        <f t="shared" si="14"/>
        <v>0</v>
      </c>
      <c r="Y42" s="236">
        <f t="shared" si="63"/>
        <v>3</v>
      </c>
      <c r="Z42" s="236" t="e">
        <f t="shared" si="64"/>
        <v>#DIV/0!</v>
      </c>
      <c r="AA42" s="236">
        <f t="shared" si="65"/>
        <v>2</v>
      </c>
      <c r="AB42" s="236" t="e">
        <f t="shared" si="66"/>
        <v>#DIV/0!</v>
      </c>
      <c r="AC42" s="235" t="e">
        <f t="shared" si="67"/>
        <v>#DIV/0!</v>
      </c>
      <c r="AD42" s="235">
        <f t="shared" si="68"/>
        <v>0</v>
      </c>
      <c r="AE42" s="279" t="e">
        <f t="shared" si="69"/>
        <v>#DIV/0!</v>
      </c>
      <c r="AF42" s="232">
        <f t="shared" si="70"/>
        <v>0</v>
      </c>
      <c r="AG42" s="235">
        <f t="shared" si="71"/>
        <v>3</v>
      </c>
      <c r="AH42" s="269" t="e">
        <f t="shared" si="72"/>
        <v>#DIV/0!</v>
      </c>
      <c r="AI42" s="232">
        <f t="shared" si="73"/>
        <v>0</v>
      </c>
      <c r="AJ42" s="235">
        <f t="shared" si="74"/>
        <v>2</v>
      </c>
      <c r="AK42" s="269" t="e">
        <f t="shared" si="75"/>
        <v>#DIV/0!</v>
      </c>
      <c r="AL42" s="269">
        <f t="shared" si="27"/>
        <v>0</v>
      </c>
      <c r="AM42" s="281">
        <f>IF(B42&gt;=mpfo,pos*vvm*Dados!$E$122*(ntudv-SUM(U43:$U$301))-SUM($AM$13:AM41),0)</f>
        <v>0</v>
      </c>
      <c r="AN42" s="269" t="e">
        <f t="shared" si="76"/>
        <v>#DIV/0!</v>
      </c>
      <c r="AO42" s="232" t="e">
        <f t="shared" si="77"/>
        <v>#DIV/0!</v>
      </c>
      <c r="AP42" s="242" t="e">
        <f t="shared" si="78"/>
        <v>#DIV/0!</v>
      </c>
      <c r="AQ42" s="235" t="e">
        <f>IF(AP42+SUM($AQ$12:AQ41)&gt;=0,0,-AP42-SUM($AQ$12:AQ41))</f>
        <v>#DIV/0!</v>
      </c>
      <c r="AR42" s="235">
        <f>IF(SUM($N$13:N41)&gt;=pmo,IF(SUM(N41:$N$501)&gt;(1-pmo),B42,0),0)</f>
        <v>0</v>
      </c>
      <c r="AS42" s="235" t="e">
        <f>IF((SUM($U$13:$U41)/ntudv)&gt;=pmv,IF((SUM($U41:$U$501)/ntudv)&gt;(1-pmv),B42,0),0)</f>
        <v>#DIV/0!</v>
      </c>
      <c r="AT42" s="237" t="e">
        <f>IF(MAX(mmo,mmv)=mmo,IF(B42=AR42,(SUM(N$13:$N41)-pmo)/((1-VLOOKUP(MAX(mmo,mmv)-1,$B$13:$O$501,14))+(VLOOKUP(MAX(mmo,mmv)-1,$B$13:$O$501,14)-pmo)),N41/((1-VLOOKUP(MAX(mmo,mmv)-1,$B$13:$O$501,14)+(VLOOKUP(MAX(mmo,mmv)-1,$B$13:$O$501,14)-pmo)))),N41/(1-VLOOKUP(MAX(mmo,mmv)-2,$B$13:$O$501,14)))</f>
        <v>#DIV/0!</v>
      </c>
      <c r="AU42" s="101" t="e">
        <f t="shared" si="29"/>
        <v>#DIV/0!</v>
      </c>
      <c r="AV42" s="287" t="e">
        <f t="shared" si="30"/>
        <v>#DIV/0!</v>
      </c>
      <c r="AW42" s="235" t="e">
        <f t="shared" si="79"/>
        <v>#DIV/0!</v>
      </c>
      <c r="AX42" s="281" t="e">
        <f>IF(B42&gt;mpfo,0,IF(B42=mpfo,(vld-teo*(1+tcfo-incc)^(MAX(mmo,mmv)-mbfo))*-1,IF(SUM($N$13:N41)&gt;=pmo,IF(($V41/ntudv)&gt;=pmv,IF(B42=MAX(mmo,mmv),-teo*(1+tcfo-incc)^(B42-mbfo),0),0),0)))</f>
        <v>#DIV/0!</v>
      </c>
      <c r="AY42" s="292" t="e">
        <f t="shared" si="32"/>
        <v>#DIV/0!</v>
      </c>
      <c r="AZ42" s="235" t="e">
        <f t="shared" si="80"/>
        <v>#DIV/0!</v>
      </c>
      <c r="BA42" s="269" t="e">
        <f t="shared" si="81"/>
        <v>#DIV/0!</v>
      </c>
      <c r="BB42" s="292" t="e">
        <f t="shared" si="82"/>
        <v>#DIV/0!</v>
      </c>
      <c r="BC42" s="238" t="e">
        <f>IF(SUM($BC$13:BC41)&gt;0,0,IF(BB42&gt;0,B42,0))</f>
        <v>#DIV/0!</v>
      </c>
      <c r="BD42" s="292" t="e">
        <f>IF(BB42+SUM($BD$12:BD41)&gt;=0,0,-BB42-SUM($BD$12:BD41))</f>
        <v>#DIV/0!</v>
      </c>
      <c r="BE42" s="235" t="e">
        <f>BB42+SUM($BD$12:BD42)</f>
        <v>#DIV/0!</v>
      </c>
      <c r="BF42" s="292" t="e">
        <f>-MIN(BE42:$BE$501)-SUM(BF$12:$BF41)</f>
        <v>#DIV/0!</v>
      </c>
      <c r="BG42" s="235" t="e">
        <f t="shared" si="47"/>
        <v>#DIV/0!</v>
      </c>
    </row>
    <row r="43" spans="2:59">
      <c r="B43" s="120">
        <v>30</v>
      </c>
      <c r="C43" s="241">
        <f t="shared" si="43"/>
        <v>43590</v>
      </c>
      <c r="D43" s="229">
        <f t="shared" si="48"/>
        <v>5</v>
      </c>
      <c r="E43" s="230" t="str">
        <f t="shared" si="49"/>
        <v>-</v>
      </c>
      <c r="F43" s="231">
        <f t="shared" si="50"/>
        <v>0</v>
      </c>
      <c r="G43" s="231">
        <f t="shared" si="51"/>
        <v>0</v>
      </c>
      <c r="H43" s="231">
        <f t="shared" si="52"/>
        <v>0</v>
      </c>
      <c r="I43" s="268">
        <f t="shared" si="5"/>
        <v>0</v>
      </c>
      <c r="J43" s="269">
        <f t="shared" si="53"/>
        <v>0</v>
      </c>
      <c r="K43" s="269">
        <f t="shared" si="54"/>
        <v>0</v>
      </c>
      <c r="L43" s="269">
        <f t="shared" si="7"/>
        <v>0</v>
      </c>
      <c r="M43" s="269">
        <f t="shared" si="8"/>
        <v>0</v>
      </c>
      <c r="N43" s="233">
        <f>VLOOKUP(B43,Dados!$L$86:$P$90,5)</f>
        <v>5.2499999999999998E-2</v>
      </c>
      <c r="O43" s="270">
        <f t="shared" si="55"/>
        <v>0.62</v>
      </c>
      <c r="P43" s="269">
        <f t="shared" si="56"/>
        <v>0</v>
      </c>
      <c r="Q43" s="269" t="e">
        <f t="shared" si="57"/>
        <v>#DIV/0!</v>
      </c>
      <c r="R43" s="269">
        <f t="shared" si="58"/>
        <v>0</v>
      </c>
      <c r="S43" s="269" t="e">
        <f t="shared" si="59"/>
        <v>#DIV/0!</v>
      </c>
      <c r="T43" s="269" t="e">
        <f t="shared" si="38"/>
        <v>#DIV/0!</v>
      </c>
      <c r="U43" s="234">
        <f t="shared" si="60"/>
        <v>0</v>
      </c>
      <c r="V43" s="232">
        <f t="shared" si="61"/>
        <v>0</v>
      </c>
      <c r="W43" s="269" t="e">
        <f t="shared" si="62"/>
        <v>#DIV/0!</v>
      </c>
      <c r="X43" s="235">
        <f t="shared" si="14"/>
        <v>0</v>
      </c>
      <c r="Y43" s="236">
        <f t="shared" si="63"/>
        <v>3</v>
      </c>
      <c r="Z43" s="236" t="e">
        <f t="shared" si="64"/>
        <v>#DIV/0!</v>
      </c>
      <c r="AA43" s="236">
        <f t="shared" si="65"/>
        <v>2</v>
      </c>
      <c r="AB43" s="236" t="e">
        <f t="shared" si="66"/>
        <v>#DIV/0!</v>
      </c>
      <c r="AC43" s="235" t="e">
        <f t="shared" si="67"/>
        <v>#DIV/0!</v>
      </c>
      <c r="AD43" s="235">
        <f t="shared" si="68"/>
        <v>0</v>
      </c>
      <c r="AE43" s="279" t="e">
        <f t="shared" si="69"/>
        <v>#DIV/0!</v>
      </c>
      <c r="AF43" s="232">
        <f t="shared" si="70"/>
        <v>0</v>
      </c>
      <c r="AG43" s="235">
        <f t="shared" si="71"/>
        <v>3</v>
      </c>
      <c r="AH43" s="269" t="e">
        <f t="shared" si="72"/>
        <v>#DIV/0!</v>
      </c>
      <c r="AI43" s="232">
        <f t="shared" si="73"/>
        <v>0</v>
      </c>
      <c r="AJ43" s="235">
        <f t="shared" si="74"/>
        <v>2</v>
      </c>
      <c r="AK43" s="269" t="e">
        <f t="shared" si="75"/>
        <v>#DIV/0!</v>
      </c>
      <c r="AL43" s="269">
        <f t="shared" si="27"/>
        <v>0</v>
      </c>
      <c r="AM43" s="281">
        <f>IF(B43&gt;=mpfo,pos*vvm*Dados!$E$122*(ntudv-SUM(U44:$U$301))-SUM($AM$13:AM42),0)</f>
        <v>0</v>
      </c>
      <c r="AN43" s="269" t="e">
        <f t="shared" si="76"/>
        <v>#DIV/0!</v>
      </c>
      <c r="AO43" s="232" t="e">
        <f t="shared" si="77"/>
        <v>#DIV/0!</v>
      </c>
      <c r="AP43" s="242" t="e">
        <f t="shared" si="78"/>
        <v>#DIV/0!</v>
      </c>
      <c r="AQ43" s="235" t="e">
        <f>IF(AP43+SUM($AQ$12:AQ42)&gt;=0,0,-AP43-SUM($AQ$12:AQ42))</f>
        <v>#DIV/0!</v>
      </c>
      <c r="AR43" s="235">
        <f>IF(SUM($N$13:N42)&gt;=pmo,IF(SUM(N42:$N$501)&gt;(1-pmo),B43,0),0)</f>
        <v>0</v>
      </c>
      <c r="AS43" s="235" t="e">
        <f>IF((SUM($U$13:$U42)/ntudv)&gt;=pmv,IF((SUM($U42:$U$501)/ntudv)&gt;(1-pmv),B43,0),0)</f>
        <v>#DIV/0!</v>
      </c>
      <c r="AT43" s="237" t="e">
        <f>IF(MAX(mmo,mmv)=mmo,IF(B43=AR43,(SUM(N$13:$N42)-pmo)/((1-VLOOKUP(MAX(mmo,mmv)-1,$B$13:$O$501,14))+(VLOOKUP(MAX(mmo,mmv)-1,$B$13:$O$501,14)-pmo)),N42/((1-VLOOKUP(MAX(mmo,mmv)-1,$B$13:$O$501,14)+(VLOOKUP(MAX(mmo,mmv)-1,$B$13:$O$501,14)-pmo)))),N42/(1-VLOOKUP(MAX(mmo,mmv)-2,$B$13:$O$501,14)))</f>
        <v>#DIV/0!</v>
      </c>
      <c r="AU43" s="101" t="e">
        <f t="shared" si="29"/>
        <v>#DIV/0!</v>
      </c>
      <c r="AV43" s="287" t="e">
        <f t="shared" si="30"/>
        <v>#DIV/0!</v>
      </c>
      <c r="AW43" s="235" t="e">
        <f t="shared" si="79"/>
        <v>#DIV/0!</v>
      </c>
      <c r="AX43" s="281" t="e">
        <f>IF(B43&gt;mpfo,0,IF(B43=mpfo,(vld-teo*(1+tcfo-incc)^(MAX(mmo,mmv)-mbfo))*-1,IF(SUM($N$13:N42)&gt;=pmo,IF(($V42/ntudv)&gt;=pmv,IF(B43=MAX(mmo,mmv),-teo*(1+tcfo-incc)^(B43-mbfo),0),0),0)))</f>
        <v>#DIV/0!</v>
      </c>
      <c r="AY43" s="292" t="e">
        <f t="shared" si="32"/>
        <v>#DIV/0!</v>
      </c>
      <c r="AZ43" s="235" t="e">
        <f t="shared" si="80"/>
        <v>#DIV/0!</v>
      </c>
      <c r="BA43" s="269" t="e">
        <f t="shared" si="81"/>
        <v>#DIV/0!</v>
      </c>
      <c r="BB43" s="292" t="e">
        <f t="shared" si="82"/>
        <v>#DIV/0!</v>
      </c>
      <c r="BC43" s="238" t="e">
        <f>IF(SUM($BC$13:BC42)&gt;0,0,IF(BB43&gt;0,B43,0))</f>
        <v>#DIV/0!</v>
      </c>
      <c r="BD43" s="292" t="e">
        <f>IF(BB43+SUM($BD$12:BD42)&gt;=0,0,-BB43-SUM($BD$12:BD42))</f>
        <v>#DIV/0!</v>
      </c>
      <c r="BE43" s="235" t="e">
        <f>BB43+SUM($BD$12:BD43)</f>
        <v>#DIV/0!</v>
      </c>
      <c r="BF43" s="292" t="e">
        <f>-MIN(BE43:$BE$501)-SUM(BF$12:$BF42)</f>
        <v>#DIV/0!</v>
      </c>
      <c r="BG43" s="235" t="e">
        <f t="shared" si="47"/>
        <v>#DIV/0!</v>
      </c>
    </row>
    <row r="44" spans="2:59">
      <c r="B44" s="246">
        <v>31</v>
      </c>
      <c r="C44" s="241">
        <f t="shared" si="43"/>
        <v>43621</v>
      </c>
      <c r="D44" s="229">
        <f t="shared" si="48"/>
        <v>6</v>
      </c>
      <c r="E44" s="230" t="str">
        <f t="shared" si="49"/>
        <v>-</v>
      </c>
      <c r="F44" s="231">
        <f t="shared" si="50"/>
        <v>0</v>
      </c>
      <c r="G44" s="231">
        <f t="shared" si="51"/>
        <v>0</v>
      </c>
      <c r="H44" s="231">
        <f t="shared" si="52"/>
        <v>0</v>
      </c>
      <c r="I44" s="268">
        <f t="shared" si="5"/>
        <v>0</v>
      </c>
      <c r="J44" s="269">
        <f t="shared" si="53"/>
        <v>0</v>
      </c>
      <c r="K44" s="269">
        <f t="shared" si="54"/>
        <v>0</v>
      </c>
      <c r="L44" s="269">
        <f t="shared" si="7"/>
        <v>0</v>
      </c>
      <c r="M44" s="269">
        <f t="shared" si="8"/>
        <v>0</v>
      </c>
      <c r="N44" s="233">
        <f>VLOOKUP(B44,Dados!$L$86:$P$90,5)</f>
        <v>4.7500000000000007E-2</v>
      </c>
      <c r="O44" s="270">
        <f t="shared" si="55"/>
        <v>0.66749999999999998</v>
      </c>
      <c r="P44" s="269">
        <f t="shared" si="56"/>
        <v>0</v>
      </c>
      <c r="Q44" s="269" t="e">
        <f t="shared" si="57"/>
        <v>#DIV/0!</v>
      </c>
      <c r="R44" s="269">
        <f t="shared" si="58"/>
        <v>0</v>
      </c>
      <c r="S44" s="269" t="e">
        <f t="shared" si="59"/>
        <v>#DIV/0!</v>
      </c>
      <c r="T44" s="269" t="e">
        <f t="shared" si="38"/>
        <v>#DIV/0!</v>
      </c>
      <c r="U44" s="234">
        <f t="shared" si="60"/>
        <v>0</v>
      </c>
      <c r="V44" s="232">
        <f t="shared" si="61"/>
        <v>0</v>
      </c>
      <c r="W44" s="269" t="e">
        <f t="shared" si="62"/>
        <v>#DIV/0!</v>
      </c>
      <c r="X44" s="235">
        <f t="shared" si="14"/>
        <v>0</v>
      </c>
      <c r="Y44" s="236">
        <f t="shared" si="63"/>
        <v>3</v>
      </c>
      <c r="Z44" s="236" t="e">
        <f t="shared" si="64"/>
        <v>#DIV/0!</v>
      </c>
      <c r="AA44" s="236">
        <f t="shared" si="65"/>
        <v>2</v>
      </c>
      <c r="AB44" s="236" t="e">
        <f t="shared" si="66"/>
        <v>#DIV/0!</v>
      </c>
      <c r="AC44" s="235" t="e">
        <f t="shared" si="67"/>
        <v>#DIV/0!</v>
      </c>
      <c r="AD44" s="235">
        <f t="shared" si="68"/>
        <v>0</v>
      </c>
      <c r="AE44" s="279" t="e">
        <f t="shared" si="69"/>
        <v>#DIV/0!</v>
      </c>
      <c r="AF44" s="232">
        <f t="shared" si="70"/>
        <v>1</v>
      </c>
      <c r="AG44" s="235">
        <f t="shared" si="71"/>
        <v>4</v>
      </c>
      <c r="AH44" s="269" t="e">
        <f t="shared" si="72"/>
        <v>#DIV/0!</v>
      </c>
      <c r="AI44" s="232">
        <f t="shared" si="73"/>
        <v>0</v>
      </c>
      <c r="AJ44" s="235">
        <f t="shared" si="74"/>
        <v>2</v>
      </c>
      <c r="AK44" s="269" t="e">
        <f t="shared" si="75"/>
        <v>#DIV/0!</v>
      </c>
      <c r="AL44" s="269">
        <f t="shared" si="27"/>
        <v>0</v>
      </c>
      <c r="AM44" s="281">
        <f>IF(B44&gt;=mpfo,pos*vvm*Dados!$E$122*(ntudv-SUM(U45:$U$301))-SUM($AM$13:AM43),0)</f>
        <v>0</v>
      </c>
      <c r="AN44" s="269" t="e">
        <f t="shared" si="76"/>
        <v>#DIV/0!</v>
      </c>
      <c r="AO44" s="232" t="e">
        <f t="shared" si="77"/>
        <v>#DIV/0!</v>
      </c>
      <c r="AP44" s="242" t="e">
        <f t="shared" si="78"/>
        <v>#DIV/0!</v>
      </c>
      <c r="AQ44" s="235" t="e">
        <f>IF(AP44+SUM($AQ$12:AQ43)&gt;=0,0,-AP44-SUM($AQ$12:AQ43))</f>
        <v>#DIV/0!</v>
      </c>
      <c r="AR44" s="235">
        <f>IF(SUM($N$13:N43)&gt;=pmo,IF(SUM(N43:$N$501)&gt;(1-pmo),B44,0),0)</f>
        <v>0</v>
      </c>
      <c r="AS44" s="235" t="e">
        <f>IF((SUM($U$13:$U43)/ntudv)&gt;=pmv,IF((SUM($U43:$U$501)/ntudv)&gt;(1-pmv),B44,0),0)</f>
        <v>#DIV/0!</v>
      </c>
      <c r="AT44" s="237" t="e">
        <f>IF(MAX(mmo,mmv)=mmo,IF(B44=AR44,(SUM(N$13:$N43)-pmo)/((1-VLOOKUP(MAX(mmo,mmv)-1,$B$13:$O$501,14))+(VLOOKUP(MAX(mmo,mmv)-1,$B$13:$O$501,14)-pmo)),N43/((1-VLOOKUP(MAX(mmo,mmv)-1,$B$13:$O$501,14)+(VLOOKUP(MAX(mmo,mmv)-1,$B$13:$O$501,14)-pmo)))),N43/(1-VLOOKUP(MAX(mmo,mmv)-2,$B$13:$O$501,14)))</f>
        <v>#DIV/0!</v>
      </c>
      <c r="AU44" s="101" t="e">
        <f t="shared" si="29"/>
        <v>#DIV/0!</v>
      </c>
      <c r="AV44" s="287" t="e">
        <f t="shared" si="30"/>
        <v>#DIV/0!</v>
      </c>
      <c r="AW44" s="235" t="e">
        <f t="shared" si="79"/>
        <v>#DIV/0!</v>
      </c>
      <c r="AX44" s="281" t="e">
        <f>IF(B44&gt;mpfo,0,IF(B44=mpfo,(vld-teo*(1+tcfo-incc)^(MAX(mmo,mmv)-mbfo))*-1,IF(SUM($N$13:N43)&gt;=pmo,IF(($V43/ntudv)&gt;=pmv,IF(B44=MAX(mmo,mmv),-teo*(1+tcfo-incc)^(B44-mbfo),0),0),0)))</f>
        <v>#DIV/0!</v>
      </c>
      <c r="AY44" s="292" t="e">
        <f t="shared" si="32"/>
        <v>#DIV/0!</v>
      </c>
      <c r="AZ44" s="235" t="e">
        <f t="shared" si="80"/>
        <v>#DIV/0!</v>
      </c>
      <c r="BA44" s="269" t="e">
        <f t="shared" si="81"/>
        <v>#DIV/0!</v>
      </c>
      <c r="BB44" s="292" t="e">
        <f t="shared" si="82"/>
        <v>#DIV/0!</v>
      </c>
      <c r="BC44" s="238" t="e">
        <f>IF(SUM($BC$13:BC43)&gt;0,0,IF(BB44&gt;0,B44,0))</f>
        <v>#DIV/0!</v>
      </c>
      <c r="BD44" s="292" t="e">
        <f>IF(BB44+SUM($BD$12:BD43)&gt;=0,0,-BB44-SUM($BD$12:BD43))</f>
        <v>#DIV/0!</v>
      </c>
      <c r="BE44" s="235" t="e">
        <f>BB44+SUM($BD$12:BD44)</f>
        <v>#DIV/0!</v>
      </c>
      <c r="BF44" s="292" t="e">
        <f>-MIN(BE44:$BE$501)-SUM(BF$12:$BF43)</f>
        <v>#DIV/0!</v>
      </c>
      <c r="BG44" s="235" t="e">
        <f t="shared" si="47"/>
        <v>#DIV/0!</v>
      </c>
    </row>
    <row r="45" spans="2:59">
      <c r="B45" s="120">
        <v>32</v>
      </c>
      <c r="C45" s="241">
        <f t="shared" si="43"/>
        <v>43651</v>
      </c>
      <c r="D45" s="229">
        <f t="shared" si="48"/>
        <v>7</v>
      </c>
      <c r="E45" s="230" t="str">
        <f t="shared" si="49"/>
        <v>-</v>
      </c>
      <c r="F45" s="231">
        <f t="shared" si="50"/>
        <v>0</v>
      </c>
      <c r="G45" s="231">
        <f t="shared" si="51"/>
        <v>0</v>
      </c>
      <c r="H45" s="231">
        <f t="shared" si="52"/>
        <v>0</v>
      </c>
      <c r="I45" s="268">
        <f t="shared" si="5"/>
        <v>0</v>
      </c>
      <c r="J45" s="269">
        <f t="shared" si="53"/>
        <v>0</v>
      </c>
      <c r="K45" s="269">
        <f t="shared" si="54"/>
        <v>0</v>
      </c>
      <c r="L45" s="269">
        <f t="shared" si="7"/>
        <v>0</v>
      </c>
      <c r="M45" s="269">
        <f t="shared" si="8"/>
        <v>0</v>
      </c>
      <c r="N45" s="233">
        <f>VLOOKUP(B45,Dados!$L$86:$P$90,5)</f>
        <v>4.7500000000000007E-2</v>
      </c>
      <c r="O45" s="270">
        <f t="shared" si="55"/>
        <v>0.71499999999999997</v>
      </c>
      <c r="P45" s="269">
        <f t="shared" si="56"/>
        <v>0</v>
      </c>
      <c r="Q45" s="269" t="e">
        <f t="shared" si="57"/>
        <v>#DIV/0!</v>
      </c>
      <c r="R45" s="269">
        <f t="shared" si="58"/>
        <v>0</v>
      </c>
      <c r="S45" s="269" t="e">
        <f t="shared" si="59"/>
        <v>#DIV/0!</v>
      </c>
      <c r="T45" s="269" t="e">
        <f t="shared" si="38"/>
        <v>#DIV/0!</v>
      </c>
      <c r="U45" s="234">
        <f t="shared" si="60"/>
        <v>0</v>
      </c>
      <c r="V45" s="232">
        <f t="shared" si="61"/>
        <v>0</v>
      </c>
      <c r="W45" s="269" t="e">
        <f t="shared" si="62"/>
        <v>#DIV/0!</v>
      </c>
      <c r="X45" s="235">
        <f t="shared" si="14"/>
        <v>0</v>
      </c>
      <c r="Y45" s="236">
        <f t="shared" si="63"/>
        <v>4</v>
      </c>
      <c r="Z45" s="236" t="e">
        <f t="shared" si="64"/>
        <v>#DIV/0!</v>
      </c>
      <c r="AA45" s="236">
        <f t="shared" si="65"/>
        <v>2</v>
      </c>
      <c r="AB45" s="236" t="e">
        <f t="shared" si="66"/>
        <v>#DIV/0!</v>
      </c>
      <c r="AC45" s="235" t="e">
        <f t="shared" si="67"/>
        <v>#DIV/0!</v>
      </c>
      <c r="AD45" s="235">
        <f t="shared" si="68"/>
        <v>0</v>
      </c>
      <c r="AE45" s="279" t="e">
        <f t="shared" si="69"/>
        <v>#DIV/0!</v>
      </c>
      <c r="AF45" s="232">
        <f t="shared" si="70"/>
        <v>0</v>
      </c>
      <c r="AG45" s="235">
        <f t="shared" si="71"/>
        <v>4</v>
      </c>
      <c r="AH45" s="269" t="e">
        <f t="shared" si="72"/>
        <v>#DIV/0!</v>
      </c>
      <c r="AI45" s="232">
        <f t="shared" si="73"/>
        <v>0</v>
      </c>
      <c r="AJ45" s="235">
        <f t="shared" si="74"/>
        <v>2</v>
      </c>
      <c r="AK45" s="269" t="e">
        <f t="shared" si="75"/>
        <v>#DIV/0!</v>
      </c>
      <c r="AL45" s="269">
        <f t="shared" si="27"/>
        <v>0</v>
      </c>
      <c r="AM45" s="281">
        <f>IF(B45&gt;=mpfo,pos*vvm*Dados!$E$122*(ntudv-SUM(U46:$U$301))-SUM($AM$13:AM44),0)</f>
        <v>0</v>
      </c>
      <c r="AN45" s="269" t="e">
        <f t="shared" si="76"/>
        <v>#DIV/0!</v>
      </c>
      <c r="AO45" s="232" t="e">
        <f t="shared" si="77"/>
        <v>#DIV/0!</v>
      </c>
      <c r="AP45" s="242" t="e">
        <f t="shared" si="78"/>
        <v>#DIV/0!</v>
      </c>
      <c r="AQ45" s="235" t="e">
        <f>IF(AP45+SUM($AQ$12:AQ44)&gt;=0,0,-AP45-SUM($AQ$12:AQ44))</f>
        <v>#DIV/0!</v>
      </c>
      <c r="AR45" s="235">
        <f>IF(SUM($N$13:N44)&gt;=pmo,IF(SUM(N44:$N$501)&gt;(1-pmo),B45,0),0)</f>
        <v>0</v>
      </c>
      <c r="AS45" s="235" t="e">
        <f>IF((SUM($U$13:$U44)/ntudv)&gt;=pmv,IF((SUM($U44:$U$501)/ntudv)&gt;(1-pmv),B45,0),0)</f>
        <v>#DIV/0!</v>
      </c>
      <c r="AT45" s="237" t="e">
        <f>IF(MAX(mmo,mmv)=mmo,IF(B45=AR45,(SUM(N$13:$N44)-pmo)/((1-VLOOKUP(MAX(mmo,mmv)-1,$B$13:$O$501,14))+(VLOOKUP(MAX(mmo,mmv)-1,$B$13:$O$501,14)-pmo)),N44/((1-VLOOKUP(MAX(mmo,mmv)-1,$B$13:$O$501,14)+(VLOOKUP(MAX(mmo,mmv)-1,$B$13:$O$501,14)-pmo)))),N44/(1-VLOOKUP(MAX(mmo,mmv)-2,$B$13:$O$501,14)))</f>
        <v>#DIV/0!</v>
      </c>
      <c r="AU45" s="101" t="e">
        <f t="shared" si="29"/>
        <v>#DIV/0!</v>
      </c>
      <c r="AV45" s="287" t="e">
        <f t="shared" si="30"/>
        <v>#DIV/0!</v>
      </c>
      <c r="AW45" s="235" t="e">
        <f t="shared" si="79"/>
        <v>#DIV/0!</v>
      </c>
      <c r="AX45" s="281" t="e">
        <f>IF(B45&gt;mpfo,0,IF(B45=mpfo,(vld-teo*(1+tcfo-incc)^(MAX(mmo,mmv)-mbfo))*-1,IF(SUM($N$13:N44)&gt;=pmo,IF(($V44/ntudv)&gt;=pmv,IF(B45=MAX(mmo,mmv),-teo*(1+tcfo-incc)^(B45-mbfo),0),0),0)))</f>
        <v>#DIV/0!</v>
      </c>
      <c r="AY45" s="292" t="e">
        <f t="shared" si="32"/>
        <v>#DIV/0!</v>
      </c>
      <c r="AZ45" s="235" t="e">
        <f t="shared" si="80"/>
        <v>#DIV/0!</v>
      </c>
      <c r="BA45" s="269" t="e">
        <f t="shared" si="81"/>
        <v>#DIV/0!</v>
      </c>
      <c r="BB45" s="292" t="e">
        <f t="shared" si="82"/>
        <v>#DIV/0!</v>
      </c>
      <c r="BC45" s="238" t="e">
        <f>IF(SUM($BC$13:BC44)&gt;0,0,IF(BB45&gt;0,B45,0))</f>
        <v>#DIV/0!</v>
      </c>
      <c r="BD45" s="292" t="e">
        <f>IF(BB45+SUM($BD$12:BD44)&gt;=0,0,-BB45-SUM($BD$12:BD44))</f>
        <v>#DIV/0!</v>
      </c>
      <c r="BE45" s="235" t="e">
        <f>BB45+SUM($BD$12:BD45)</f>
        <v>#DIV/0!</v>
      </c>
      <c r="BF45" s="292" t="e">
        <f>-MIN(BE45:$BE$501)-SUM(BF$12:$BF44)</f>
        <v>#DIV/0!</v>
      </c>
      <c r="BG45" s="235" t="e">
        <f t="shared" si="47"/>
        <v>#DIV/0!</v>
      </c>
    </row>
    <row r="46" spans="2:59">
      <c r="B46" s="246">
        <v>33</v>
      </c>
      <c r="C46" s="241">
        <f t="shared" si="43"/>
        <v>43682</v>
      </c>
      <c r="D46" s="229">
        <f t="shared" si="48"/>
        <v>8</v>
      </c>
      <c r="E46" s="230" t="str">
        <f t="shared" si="49"/>
        <v>-</v>
      </c>
      <c r="F46" s="231">
        <f t="shared" si="50"/>
        <v>0</v>
      </c>
      <c r="G46" s="231">
        <f t="shared" si="51"/>
        <v>0</v>
      </c>
      <c r="H46" s="231">
        <f t="shared" si="52"/>
        <v>0</v>
      </c>
      <c r="I46" s="268">
        <f t="shared" si="5"/>
        <v>0</v>
      </c>
      <c r="J46" s="269">
        <f t="shared" si="53"/>
        <v>0</v>
      </c>
      <c r="K46" s="269">
        <f t="shared" si="54"/>
        <v>0</v>
      </c>
      <c r="L46" s="269">
        <f t="shared" si="7"/>
        <v>0</v>
      </c>
      <c r="M46" s="269">
        <f t="shared" si="8"/>
        <v>0</v>
      </c>
      <c r="N46" s="233">
        <f>VLOOKUP(B46,Dados!$L$86:$P$90,5)</f>
        <v>4.7500000000000007E-2</v>
      </c>
      <c r="O46" s="270">
        <f t="shared" si="55"/>
        <v>0.76249999999999996</v>
      </c>
      <c r="P46" s="269">
        <f t="shared" si="56"/>
        <v>0</v>
      </c>
      <c r="Q46" s="269" t="e">
        <f t="shared" si="57"/>
        <v>#DIV/0!</v>
      </c>
      <c r="R46" s="269">
        <f t="shared" si="58"/>
        <v>0</v>
      </c>
      <c r="S46" s="269" t="e">
        <f t="shared" si="59"/>
        <v>#DIV/0!</v>
      </c>
      <c r="T46" s="269" t="e">
        <f t="shared" si="38"/>
        <v>#DIV/0!</v>
      </c>
      <c r="U46" s="234">
        <f t="shared" si="60"/>
        <v>0</v>
      </c>
      <c r="V46" s="232">
        <f t="shared" si="61"/>
        <v>0</v>
      </c>
      <c r="W46" s="269" t="e">
        <f t="shared" si="62"/>
        <v>#DIV/0!</v>
      </c>
      <c r="X46" s="235">
        <f t="shared" si="14"/>
        <v>0</v>
      </c>
      <c r="Y46" s="236">
        <f t="shared" si="63"/>
        <v>4</v>
      </c>
      <c r="Z46" s="236" t="e">
        <f t="shared" si="64"/>
        <v>#DIV/0!</v>
      </c>
      <c r="AA46" s="236">
        <f t="shared" si="65"/>
        <v>2</v>
      </c>
      <c r="AB46" s="236" t="e">
        <f t="shared" si="66"/>
        <v>#DIV/0!</v>
      </c>
      <c r="AC46" s="235" t="e">
        <f t="shared" si="67"/>
        <v>#DIV/0!</v>
      </c>
      <c r="AD46" s="235">
        <f t="shared" si="68"/>
        <v>0</v>
      </c>
      <c r="AE46" s="279" t="e">
        <f t="shared" si="69"/>
        <v>#DIV/0!</v>
      </c>
      <c r="AF46" s="232">
        <f t="shared" si="70"/>
        <v>0</v>
      </c>
      <c r="AG46" s="235">
        <f t="shared" si="71"/>
        <v>4</v>
      </c>
      <c r="AH46" s="269" t="e">
        <f t="shared" si="72"/>
        <v>#DIV/0!</v>
      </c>
      <c r="AI46" s="232">
        <f t="shared" si="73"/>
        <v>0</v>
      </c>
      <c r="AJ46" s="235">
        <f t="shared" si="74"/>
        <v>2</v>
      </c>
      <c r="AK46" s="269" t="e">
        <f t="shared" si="75"/>
        <v>#DIV/0!</v>
      </c>
      <c r="AL46" s="269">
        <f t="shared" si="27"/>
        <v>0</v>
      </c>
      <c r="AM46" s="281">
        <f>IF(B46&gt;=mpfo,pos*vvm*Dados!$E$122*(ntudv-SUM(U47:$U$301))-SUM($AM$13:AM45),0)</f>
        <v>0</v>
      </c>
      <c r="AN46" s="269" t="e">
        <f t="shared" si="76"/>
        <v>#DIV/0!</v>
      </c>
      <c r="AO46" s="232" t="e">
        <f t="shared" si="77"/>
        <v>#DIV/0!</v>
      </c>
      <c r="AP46" s="242" t="e">
        <f t="shared" si="78"/>
        <v>#DIV/0!</v>
      </c>
      <c r="AQ46" s="235" t="e">
        <f>IF(AP46+SUM($AQ$12:AQ45)&gt;=0,0,-AP46-SUM($AQ$12:AQ45))</f>
        <v>#DIV/0!</v>
      </c>
      <c r="AR46" s="235">
        <f>IF(SUM($N$13:N45)&gt;=pmo,IF(SUM(N45:$N$501)&gt;(1-pmo),B46,0),0)</f>
        <v>0</v>
      </c>
      <c r="AS46" s="235" t="e">
        <f>IF((SUM($U$13:$U45)/ntudv)&gt;=pmv,IF((SUM($U45:$U$501)/ntudv)&gt;(1-pmv),B46,0),0)</f>
        <v>#DIV/0!</v>
      </c>
      <c r="AT46" s="237" t="e">
        <f>IF(MAX(mmo,mmv)=mmo,IF(B46=AR46,(SUM(N$13:$N45)-pmo)/((1-VLOOKUP(MAX(mmo,mmv)-1,$B$13:$O$501,14))+(VLOOKUP(MAX(mmo,mmv)-1,$B$13:$O$501,14)-pmo)),N45/((1-VLOOKUP(MAX(mmo,mmv)-1,$B$13:$O$501,14)+(VLOOKUP(MAX(mmo,mmv)-1,$B$13:$O$501,14)-pmo)))),N45/(1-VLOOKUP(MAX(mmo,mmv)-2,$B$13:$O$501,14)))</f>
        <v>#DIV/0!</v>
      </c>
      <c r="AU46" s="101" t="e">
        <f t="shared" si="29"/>
        <v>#DIV/0!</v>
      </c>
      <c r="AV46" s="287" t="e">
        <f t="shared" si="30"/>
        <v>#DIV/0!</v>
      </c>
      <c r="AW46" s="235" t="e">
        <f t="shared" si="79"/>
        <v>#DIV/0!</v>
      </c>
      <c r="AX46" s="281" t="e">
        <f>IF(B46&gt;mpfo,0,IF(B46=mpfo,(vld-teo*(1+tcfo-incc)^(MAX(mmo,mmv)-mbfo))*-1,IF(SUM($N$13:N45)&gt;=pmo,IF(($V45/ntudv)&gt;=pmv,IF(B46=MAX(mmo,mmv),-teo*(1+tcfo-incc)^(B46-mbfo),0),0),0)))</f>
        <v>#DIV/0!</v>
      </c>
      <c r="AY46" s="292" t="e">
        <f t="shared" si="32"/>
        <v>#DIV/0!</v>
      </c>
      <c r="AZ46" s="235" t="e">
        <f t="shared" si="80"/>
        <v>#DIV/0!</v>
      </c>
      <c r="BA46" s="269" t="e">
        <f t="shared" si="81"/>
        <v>#DIV/0!</v>
      </c>
      <c r="BB46" s="292" t="e">
        <f t="shared" si="82"/>
        <v>#DIV/0!</v>
      </c>
      <c r="BC46" s="238" t="e">
        <f>IF(SUM($BC$13:BC45)&gt;0,0,IF(BB46&gt;0,B46,0))</f>
        <v>#DIV/0!</v>
      </c>
      <c r="BD46" s="292" t="e">
        <f>IF(BB46+SUM($BD$12:BD45)&gt;=0,0,-BB46-SUM($BD$12:BD45))</f>
        <v>#DIV/0!</v>
      </c>
      <c r="BE46" s="235" t="e">
        <f>BB46+SUM($BD$12:BD46)</f>
        <v>#DIV/0!</v>
      </c>
      <c r="BF46" s="292" t="e">
        <f>-MIN(BE46:$BE$501)-SUM(BF$12:$BF45)</f>
        <v>#DIV/0!</v>
      </c>
      <c r="BG46" s="235" t="e">
        <f t="shared" si="47"/>
        <v>#DIV/0!</v>
      </c>
    </row>
    <row r="47" spans="2:59">
      <c r="B47" s="120">
        <v>34</v>
      </c>
      <c r="C47" s="241">
        <f t="shared" si="43"/>
        <v>43713</v>
      </c>
      <c r="D47" s="229">
        <f t="shared" si="48"/>
        <v>9</v>
      </c>
      <c r="E47" s="230" t="str">
        <f t="shared" si="49"/>
        <v>-</v>
      </c>
      <c r="F47" s="231">
        <f t="shared" si="50"/>
        <v>0</v>
      </c>
      <c r="G47" s="231">
        <f t="shared" si="51"/>
        <v>0</v>
      </c>
      <c r="H47" s="231">
        <f t="shared" si="52"/>
        <v>0</v>
      </c>
      <c r="I47" s="268">
        <f t="shared" si="5"/>
        <v>0</v>
      </c>
      <c r="J47" s="269">
        <f t="shared" si="53"/>
        <v>0</v>
      </c>
      <c r="K47" s="269">
        <f t="shared" si="54"/>
        <v>0</v>
      </c>
      <c r="L47" s="269">
        <f t="shared" si="7"/>
        <v>0</v>
      </c>
      <c r="M47" s="269">
        <f t="shared" si="8"/>
        <v>0</v>
      </c>
      <c r="N47" s="233">
        <f>VLOOKUP(B47,Dados!$L$86:$P$90,5)</f>
        <v>4.7500000000000007E-2</v>
      </c>
      <c r="O47" s="270">
        <f t="shared" si="55"/>
        <v>0.80999999999999994</v>
      </c>
      <c r="P47" s="269">
        <f t="shared" si="56"/>
        <v>0</v>
      </c>
      <c r="Q47" s="269" t="e">
        <f t="shared" si="57"/>
        <v>#DIV/0!</v>
      </c>
      <c r="R47" s="269">
        <f t="shared" si="58"/>
        <v>0</v>
      </c>
      <c r="S47" s="269" t="e">
        <f t="shared" si="59"/>
        <v>#DIV/0!</v>
      </c>
      <c r="T47" s="269" t="e">
        <f t="shared" si="38"/>
        <v>#DIV/0!</v>
      </c>
      <c r="U47" s="234">
        <f t="shared" si="60"/>
        <v>0</v>
      </c>
      <c r="V47" s="232">
        <f t="shared" si="61"/>
        <v>0</v>
      </c>
      <c r="W47" s="269" t="e">
        <f t="shared" si="62"/>
        <v>#DIV/0!</v>
      </c>
      <c r="X47" s="235">
        <f t="shared" si="14"/>
        <v>0</v>
      </c>
      <c r="Y47" s="236">
        <f t="shared" si="63"/>
        <v>4</v>
      </c>
      <c r="Z47" s="236" t="e">
        <f t="shared" si="64"/>
        <v>#DIV/0!</v>
      </c>
      <c r="AA47" s="236">
        <f t="shared" si="65"/>
        <v>2</v>
      </c>
      <c r="AB47" s="236" t="e">
        <f t="shared" si="66"/>
        <v>#DIV/0!</v>
      </c>
      <c r="AC47" s="235" t="e">
        <f t="shared" si="67"/>
        <v>#DIV/0!</v>
      </c>
      <c r="AD47" s="235">
        <f t="shared" si="68"/>
        <v>0</v>
      </c>
      <c r="AE47" s="279" t="e">
        <f t="shared" si="69"/>
        <v>#DIV/0!</v>
      </c>
      <c r="AF47" s="232">
        <f t="shared" si="70"/>
        <v>0</v>
      </c>
      <c r="AG47" s="235">
        <f t="shared" si="71"/>
        <v>4</v>
      </c>
      <c r="AH47" s="269" t="e">
        <f t="shared" si="72"/>
        <v>#DIV/0!</v>
      </c>
      <c r="AI47" s="232">
        <f t="shared" si="73"/>
        <v>0</v>
      </c>
      <c r="AJ47" s="235">
        <f t="shared" si="74"/>
        <v>2</v>
      </c>
      <c r="AK47" s="269" t="e">
        <f t="shared" si="75"/>
        <v>#DIV/0!</v>
      </c>
      <c r="AL47" s="269">
        <f t="shared" si="27"/>
        <v>0</v>
      </c>
      <c r="AM47" s="281">
        <f>IF(B47&gt;=mpfo,pos*vvm*Dados!$E$122*(ntudv-SUM(U48:$U$301))-SUM($AM$13:AM46),0)</f>
        <v>0</v>
      </c>
      <c r="AN47" s="269" t="e">
        <f t="shared" si="76"/>
        <v>#DIV/0!</v>
      </c>
      <c r="AO47" s="232" t="e">
        <f t="shared" si="77"/>
        <v>#DIV/0!</v>
      </c>
      <c r="AP47" s="242" t="e">
        <f t="shared" si="78"/>
        <v>#DIV/0!</v>
      </c>
      <c r="AQ47" s="235" t="e">
        <f>IF(AP47+SUM($AQ$12:AQ46)&gt;=0,0,-AP47-SUM($AQ$12:AQ46))</f>
        <v>#DIV/0!</v>
      </c>
      <c r="AR47" s="235">
        <f>IF(SUM($N$13:N46)&gt;=pmo,IF(SUM(N46:$N$501)&gt;(1-pmo),B47,0),0)</f>
        <v>0</v>
      </c>
      <c r="AS47" s="235" t="e">
        <f>IF((SUM($U$13:$U46)/ntudv)&gt;=pmv,IF((SUM($U46:$U$501)/ntudv)&gt;(1-pmv),B47,0),0)</f>
        <v>#DIV/0!</v>
      </c>
      <c r="AT47" s="237" t="e">
        <f>IF(MAX(mmo,mmv)=mmo,IF(B47=AR47,(SUM(N$13:$N46)-pmo)/((1-VLOOKUP(MAX(mmo,mmv)-1,$B$13:$O$501,14))+(VLOOKUP(MAX(mmo,mmv)-1,$B$13:$O$501,14)-pmo)),N46/((1-VLOOKUP(MAX(mmo,mmv)-1,$B$13:$O$501,14)+(VLOOKUP(MAX(mmo,mmv)-1,$B$13:$O$501,14)-pmo)))),N46/(1-VLOOKUP(MAX(mmo,mmv)-2,$B$13:$O$501,14)))</f>
        <v>#DIV/0!</v>
      </c>
      <c r="AU47" s="101" t="e">
        <f t="shared" si="29"/>
        <v>#DIV/0!</v>
      </c>
      <c r="AV47" s="287" t="e">
        <f t="shared" si="30"/>
        <v>#DIV/0!</v>
      </c>
      <c r="AW47" s="235" t="e">
        <f t="shared" si="79"/>
        <v>#DIV/0!</v>
      </c>
      <c r="AX47" s="281" t="e">
        <f>IF(B47&gt;mpfo,0,IF(B47=mpfo,(vld-teo*(1+tcfo-incc)^(MAX(mmo,mmv)-mbfo))*-1,IF(SUM($N$13:N46)&gt;=pmo,IF(($V46/ntudv)&gt;=pmv,IF(B47=MAX(mmo,mmv),-teo*(1+tcfo-incc)^(B47-mbfo),0),0),0)))</f>
        <v>#DIV/0!</v>
      </c>
      <c r="AY47" s="292" t="e">
        <f t="shared" si="32"/>
        <v>#DIV/0!</v>
      </c>
      <c r="AZ47" s="235" t="e">
        <f t="shared" si="80"/>
        <v>#DIV/0!</v>
      </c>
      <c r="BA47" s="269" t="e">
        <f t="shared" si="81"/>
        <v>#DIV/0!</v>
      </c>
      <c r="BB47" s="292" t="e">
        <f t="shared" si="82"/>
        <v>#DIV/0!</v>
      </c>
      <c r="BC47" s="238" t="e">
        <f>IF(SUM($BC$13:BC46)&gt;0,0,IF(BB47&gt;0,B47,0))</f>
        <v>#DIV/0!</v>
      </c>
      <c r="BD47" s="292" t="e">
        <f>IF(BB47+SUM($BD$12:BD46)&gt;=0,0,-BB47-SUM($BD$12:BD46))</f>
        <v>#DIV/0!</v>
      </c>
      <c r="BE47" s="235" t="e">
        <f>BB47+SUM($BD$12:BD47)</f>
        <v>#DIV/0!</v>
      </c>
      <c r="BF47" s="292" t="e">
        <f>-MIN(BE47:$BE$501)-SUM(BF$12:$BF46)</f>
        <v>#DIV/0!</v>
      </c>
      <c r="BG47" s="235" t="e">
        <f t="shared" si="47"/>
        <v>#DIV/0!</v>
      </c>
    </row>
    <row r="48" spans="2:59">
      <c r="B48" s="246">
        <v>35</v>
      </c>
      <c r="C48" s="241">
        <f t="shared" si="43"/>
        <v>43743</v>
      </c>
      <c r="D48" s="229">
        <f t="shared" si="48"/>
        <v>10</v>
      </c>
      <c r="E48" s="230" t="str">
        <f t="shared" si="49"/>
        <v>-</v>
      </c>
      <c r="F48" s="231">
        <f t="shared" si="50"/>
        <v>0</v>
      </c>
      <c r="G48" s="231">
        <f t="shared" si="51"/>
        <v>0</v>
      </c>
      <c r="H48" s="231">
        <f t="shared" si="52"/>
        <v>0</v>
      </c>
      <c r="I48" s="268">
        <f t="shared" si="5"/>
        <v>0</v>
      </c>
      <c r="J48" s="269">
        <f t="shared" si="53"/>
        <v>0</v>
      </c>
      <c r="K48" s="269">
        <f t="shared" si="54"/>
        <v>0</v>
      </c>
      <c r="L48" s="269">
        <f t="shared" si="7"/>
        <v>0</v>
      </c>
      <c r="M48" s="269">
        <f t="shared" si="8"/>
        <v>0</v>
      </c>
      <c r="N48" s="233">
        <f>VLOOKUP(B48,Dados!$L$86:$P$90,5)</f>
        <v>4.7500000000000007E-2</v>
      </c>
      <c r="O48" s="270">
        <f t="shared" si="55"/>
        <v>0.85749999999999993</v>
      </c>
      <c r="P48" s="269">
        <f t="shared" si="56"/>
        <v>0</v>
      </c>
      <c r="Q48" s="269" t="e">
        <f t="shared" si="57"/>
        <v>#DIV/0!</v>
      </c>
      <c r="R48" s="269">
        <f t="shared" si="58"/>
        <v>0</v>
      </c>
      <c r="S48" s="269" t="e">
        <f t="shared" si="59"/>
        <v>#DIV/0!</v>
      </c>
      <c r="T48" s="269" t="e">
        <f t="shared" si="38"/>
        <v>#DIV/0!</v>
      </c>
      <c r="U48" s="234">
        <f t="shared" si="60"/>
        <v>0</v>
      </c>
      <c r="V48" s="232">
        <f t="shared" si="61"/>
        <v>0</v>
      </c>
      <c r="W48" s="269" t="e">
        <f t="shared" si="62"/>
        <v>#DIV/0!</v>
      </c>
      <c r="X48" s="235">
        <f t="shared" si="14"/>
        <v>0</v>
      </c>
      <c r="Y48" s="236">
        <f t="shared" si="63"/>
        <v>4</v>
      </c>
      <c r="Z48" s="236" t="e">
        <f t="shared" si="64"/>
        <v>#DIV/0!</v>
      </c>
      <c r="AA48" s="236">
        <f t="shared" si="65"/>
        <v>2</v>
      </c>
      <c r="AB48" s="236" t="e">
        <f t="shared" si="66"/>
        <v>#DIV/0!</v>
      </c>
      <c r="AC48" s="235" t="e">
        <f t="shared" si="67"/>
        <v>#DIV/0!</v>
      </c>
      <c r="AD48" s="235">
        <f t="shared" si="68"/>
        <v>0</v>
      </c>
      <c r="AE48" s="279" t="e">
        <f t="shared" si="69"/>
        <v>#DIV/0!</v>
      </c>
      <c r="AF48" s="232">
        <f t="shared" si="70"/>
        <v>0</v>
      </c>
      <c r="AG48" s="235">
        <f t="shared" si="71"/>
        <v>4</v>
      </c>
      <c r="AH48" s="269" t="e">
        <f t="shared" si="72"/>
        <v>#DIV/0!</v>
      </c>
      <c r="AI48" s="232">
        <f t="shared" si="73"/>
        <v>0</v>
      </c>
      <c r="AJ48" s="235">
        <f t="shared" si="74"/>
        <v>2</v>
      </c>
      <c r="AK48" s="269" t="e">
        <f t="shared" si="75"/>
        <v>#DIV/0!</v>
      </c>
      <c r="AL48" s="269">
        <f t="shared" si="27"/>
        <v>0</v>
      </c>
      <c r="AM48" s="281">
        <f>IF(B48&gt;=mpfo,pos*vvm*Dados!$E$122*(ntudv-SUM(U49:$U$301))-SUM($AM$13:AM47),0)</f>
        <v>0</v>
      </c>
      <c r="AN48" s="269" t="e">
        <f t="shared" si="76"/>
        <v>#DIV/0!</v>
      </c>
      <c r="AO48" s="232" t="e">
        <f t="shared" si="77"/>
        <v>#DIV/0!</v>
      </c>
      <c r="AP48" s="242" t="e">
        <f t="shared" si="78"/>
        <v>#DIV/0!</v>
      </c>
      <c r="AQ48" s="235" t="e">
        <f>IF(AP48+SUM($AQ$12:AQ47)&gt;=0,0,-AP48-SUM($AQ$12:AQ47))</f>
        <v>#DIV/0!</v>
      </c>
      <c r="AR48" s="235">
        <f>IF(SUM($N$13:N47)&gt;=pmo,IF(SUM(N47:$N$501)&gt;(1-pmo),B48,0),0)</f>
        <v>0</v>
      </c>
      <c r="AS48" s="235" t="e">
        <f>IF((SUM($U$13:$U47)/ntudv)&gt;=pmv,IF((SUM($U47:$U$501)/ntudv)&gt;(1-pmv),B48,0),0)</f>
        <v>#DIV/0!</v>
      </c>
      <c r="AT48" s="237" t="e">
        <f>IF(MAX(mmo,mmv)=mmo,IF(B48=AR48,(SUM(N$13:$N47)-pmo)/((1-VLOOKUP(MAX(mmo,mmv)-1,$B$13:$O$501,14))+(VLOOKUP(MAX(mmo,mmv)-1,$B$13:$O$501,14)-pmo)),N47/((1-VLOOKUP(MAX(mmo,mmv)-1,$B$13:$O$501,14)+(VLOOKUP(MAX(mmo,mmv)-1,$B$13:$O$501,14)-pmo)))),N47/(1-VLOOKUP(MAX(mmo,mmv)-2,$B$13:$O$501,14)))</f>
        <v>#DIV/0!</v>
      </c>
      <c r="AU48" s="101" t="e">
        <f t="shared" si="29"/>
        <v>#DIV/0!</v>
      </c>
      <c r="AV48" s="287" t="e">
        <f t="shared" si="30"/>
        <v>#DIV/0!</v>
      </c>
      <c r="AW48" s="235" t="e">
        <f t="shared" si="79"/>
        <v>#DIV/0!</v>
      </c>
      <c r="AX48" s="281" t="e">
        <f>IF(B48&gt;mpfo,0,IF(B48=mpfo,(vld-teo*(1+tcfo-incc)^(MAX(mmo,mmv)-mbfo))*-1,IF(SUM($N$13:N47)&gt;=pmo,IF(($V47/ntudv)&gt;=pmv,IF(B48=MAX(mmo,mmv),-teo*(1+tcfo-incc)^(B48-mbfo),0),0),0)))</f>
        <v>#DIV/0!</v>
      </c>
      <c r="AY48" s="292" t="e">
        <f t="shared" si="32"/>
        <v>#DIV/0!</v>
      </c>
      <c r="AZ48" s="235" t="e">
        <f t="shared" si="80"/>
        <v>#DIV/0!</v>
      </c>
      <c r="BA48" s="269" t="e">
        <f t="shared" si="81"/>
        <v>#DIV/0!</v>
      </c>
      <c r="BB48" s="292" t="e">
        <f t="shared" si="82"/>
        <v>#DIV/0!</v>
      </c>
      <c r="BC48" s="238" t="e">
        <f>IF(SUM($BC$13:BC47)&gt;0,0,IF(BB48&gt;0,B48,0))</f>
        <v>#DIV/0!</v>
      </c>
      <c r="BD48" s="292" t="e">
        <f>IF(BB48+SUM($BD$12:BD47)&gt;=0,0,-BB48-SUM($BD$12:BD47))</f>
        <v>#DIV/0!</v>
      </c>
      <c r="BE48" s="235" t="e">
        <f>BB48+SUM($BD$12:BD48)</f>
        <v>#DIV/0!</v>
      </c>
      <c r="BF48" s="292" t="e">
        <f>-MIN(BE48:$BE$501)-SUM(BF$12:$BF47)</f>
        <v>#DIV/0!</v>
      </c>
      <c r="BG48" s="235" t="e">
        <f t="shared" si="47"/>
        <v>#DIV/0!</v>
      </c>
    </row>
    <row r="49" spans="2:59">
      <c r="B49" s="120">
        <v>36</v>
      </c>
      <c r="C49" s="241">
        <f t="shared" si="43"/>
        <v>43774</v>
      </c>
      <c r="D49" s="229">
        <f t="shared" si="48"/>
        <v>11</v>
      </c>
      <c r="E49" s="230" t="str">
        <f t="shared" si="49"/>
        <v>-</v>
      </c>
      <c r="F49" s="231">
        <f t="shared" si="50"/>
        <v>0</v>
      </c>
      <c r="G49" s="231">
        <f t="shared" si="51"/>
        <v>0</v>
      </c>
      <c r="H49" s="231">
        <f t="shared" si="52"/>
        <v>0</v>
      </c>
      <c r="I49" s="268">
        <f t="shared" si="5"/>
        <v>0</v>
      </c>
      <c r="J49" s="269">
        <f t="shared" si="53"/>
        <v>0</v>
      </c>
      <c r="K49" s="269">
        <f t="shared" si="54"/>
        <v>0</v>
      </c>
      <c r="L49" s="269">
        <f t="shared" si="7"/>
        <v>0</v>
      </c>
      <c r="M49" s="269">
        <f t="shared" si="8"/>
        <v>0</v>
      </c>
      <c r="N49" s="233">
        <f>VLOOKUP(B49,Dados!$L$86:$P$90,5)</f>
        <v>4.7500000000000007E-2</v>
      </c>
      <c r="O49" s="270">
        <f t="shared" si="55"/>
        <v>0.90499999999999992</v>
      </c>
      <c r="P49" s="269">
        <f t="shared" si="56"/>
        <v>0</v>
      </c>
      <c r="Q49" s="269" t="e">
        <f t="shared" si="57"/>
        <v>#DIV/0!</v>
      </c>
      <c r="R49" s="269">
        <f t="shared" si="58"/>
        <v>0</v>
      </c>
      <c r="S49" s="269" t="e">
        <f t="shared" si="59"/>
        <v>#DIV/0!</v>
      </c>
      <c r="T49" s="269" t="e">
        <f t="shared" si="38"/>
        <v>#DIV/0!</v>
      </c>
      <c r="U49" s="234">
        <f t="shared" si="60"/>
        <v>0</v>
      </c>
      <c r="V49" s="232">
        <f t="shared" si="61"/>
        <v>0</v>
      </c>
      <c r="W49" s="269" t="e">
        <f t="shared" si="62"/>
        <v>#DIV/0!</v>
      </c>
      <c r="X49" s="235">
        <f t="shared" si="14"/>
        <v>0</v>
      </c>
      <c r="Y49" s="236">
        <f t="shared" si="63"/>
        <v>4</v>
      </c>
      <c r="Z49" s="236" t="e">
        <f t="shared" si="64"/>
        <v>#DIV/0!</v>
      </c>
      <c r="AA49" s="236">
        <f t="shared" si="65"/>
        <v>2</v>
      </c>
      <c r="AB49" s="236" t="e">
        <f t="shared" si="66"/>
        <v>#DIV/0!</v>
      </c>
      <c r="AC49" s="235" t="e">
        <f t="shared" si="67"/>
        <v>#DIV/0!</v>
      </c>
      <c r="AD49" s="235">
        <f t="shared" si="68"/>
        <v>0</v>
      </c>
      <c r="AE49" s="279" t="e">
        <f t="shared" si="69"/>
        <v>#DIV/0!</v>
      </c>
      <c r="AF49" s="232">
        <f t="shared" si="70"/>
        <v>0</v>
      </c>
      <c r="AG49" s="235">
        <f t="shared" si="71"/>
        <v>4</v>
      </c>
      <c r="AH49" s="269" t="e">
        <f t="shared" si="72"/>
        <v>#DIV/0!</v>
      </c>
      <c r="AI49" s="232">
        <f t="shared" si="73"/>
        <v>0</v>
      </c>
      <c r="AJ49" s="235">
        <f t="shared" si="74"/>
        <v>2</v>
      </c>
      <c r="AK49" s="269" t="e">
        <f t="shared" si="75"/>
        <v>#DIV/0!</v>
      </c>
      <c r="AL49" s="269">
        <f t="shared" si="27"/>
        <v>0</v>
      </c>
      <c r="AM49" s="281">
        <f>IF(B49&gt;=mpfo,pos*vvm*Dados!$E$122*(ntudv-SUM(U50:$U$301))-SUM($AM$13:AM48),0)</f>
        <v>0</v>
      </c>
      <c r="AN49" s="269" t="e">
        <f t="shared" si="76"/>
        <v>#DIV/0!</v>
      </c>
      <c r="AO49" s="232" t="e">
        <f t="shared" si="77"/>
        <v>#DIV/0!</v>
      </c>
      <c r="AP49" s="242" t="e">
        <f t="shared" si="78"/>
        <v>#DIV/0!</v>
      </c>
      <c r="AQ49" s="235" t="e">
        <f>IF(AP49+SUM($AQ$12:AQ48)&gt;=0,0,-AP49-SUM($AQ$12:AQ48))</f>
        <v>#DIV/0!</v>
      </c>
      <c r="AR49" s="235">
        <f>IF(SUM($N$13:N48)&gt;=pmo,IF(SUM(N48:$N$501)&gt;(1-pmo),B49,0),0)</f>
        <v>0</v>
      </c>
      <c r="AS49" s="235" t="e">
        <f>IF((SUM($U$13:$U48)/ntudv)&gt;=pmv,IF((SUM($U48:$U$501)/ntudv)&gt;(1-pmv),B49,0),0)</f>
        <v>#DIV/0!</v>
      </c>
      <c r="AT49" s="237" t="e">
        <f>IF(MAX(mmo,mmv)=mmo,IF(B49=AR49,(SUM(N$13:$N48)-pmo)/((1-VLOOKUP(MAX(mmo,mmv)-1,$B$13:$O$501,14))+(VLOOKUP(MAX(mmo,mmv)-1,$B$13:$O$501,14)-pmo)),N48/((1-VLOOKUP(MAX(mmo,mmv)-1,$B$13:$O$501,14)+(VLOOKUP(MAX(mmo,mmv)-1,$B$13:$O$501,14)-pmo)))),N48/(1-VLOOKUP(MAX(mmo,mmv)-2,$B$13:$O$501,14)))</f>
        <v>#DIV/0!</v>
      </c>
      <c r="AU49" s="101" t="e">
        <f t="shared" si="29"/>
        <v>#DIV/0!</v>
      </c>
      <c r="AV49" s="287" t="e">
        <f t="shared" si="30"/>
        <v>#DIV/0!</v>
      </c>
      <c r="AW49" s="235" t="e">
        <f t="shared" si="79"/>
        <v>#DIV/0!</v>
      </c>
      <c r="AX49" s="281" t="e">
        <f>IF(B49&gt;mpfo,0,IF(B49=mpfo,(vld-teo*(1+tcfo-incc)^(MAX(mmo,mmv)-mbfo))*-1,IF(SUM($N$13:N48)&gt;=pmo,IF(($V48/ntudv)&gt;=pmv,IF(B49=MAX(mmo,mmv),-teo*(1+tcfo-incc)^(B49-mbfo),0),0),0)))</f>
        <v>#DIV/0!</v>
      </c>
      <c r="AY49" s="292" t="e">
        <f t="shared" si="32"/>
        <v>#DIV/0!</v>
      </c>
      <c r="AZ49" s="235" t="e">
        <f t="shared" si="80"/>
        <v>#DIV/0!</v>
      </c>
      <c r="BA49" s="269" t="e">
        <f t="shared" si="81"/>
        <v>#DIV/0!</v>
      </c>
      <c r="BB49" s="292" t="e">
        <f t="shared" si="82"/>
        <v>#DIV/0!</v>
      </c>
      <c r="BC49" s="238" t="e">
        <f>IF(SUM($BC$13:BC48)&gt;0,0,IF(BB49&gt;0,B49,0))</f>
        <v>#DIV/0!</v>
      </c>
      <c r="BD49" s="292" t="e">
        <f>IF(BB49+SUM($BD$12:BD48)&gt;=0,0,-BB49-SUM($BD$12:BD48))</f>
        <v>#DIV/0!</v>
      </c>
      <c r="BE49" s="235" t="e">
        <f>BB49+SUM($BD$12:BD49)</f>
        <v>#DIV/0!</v>
      </c>
      <c r="BF49" s="292" t="e">
        <f>-MIN(BE49:$BE$501)-SUM(BF$12:$BF48)</f>
        <v>#DIV/0!</v>
      </c>
      <c r="BG49" s="235" t="e">
        <f t="shared" si="47"/>
        <v>#DIV/0!</v>
      </c>
    </row>
    <row r="50" spans="2:59">
      <c r="B50" s="246">
        <v>37</v>
      </c>
      <c r="C50" s="241">
        <f t="shared" si="43"/>
        <v>43804</v>
      </c>
      <c r="D50" s="229">
        <f t="shared" si="48"/>
        <v>12</v>
      </c>
      <c r="E50" s="230" t="str">
        <f t="shared" si="49"/>
        <v>-</v>
      </c>
      <c r="F50" s="231">
        <f t="shared" si="50"/>
        <v>0</v>
      </c>
      <c r="G50" s="231">
        <f t="shared" si="51"/>
        <v>0</v>
      </c>
      <c r="H50" s="231">
        <f t="shared" si="52"/>
        <v>0</v>
      </c>
      <c r="I50" s="268">
        <f t="shared" si="5"/>
        <v>0</v>
      </c>
      <c r="J50" s="269">
        <f t="shared" si="53"/>
        <v>0</v>
      </c>
      <c r="K50" s="269">
        <f t="shared" si="54"/>
        <v>0</v>
      </c>
      <c r="L50" s="269">
        <f t="shared" si="7"/>
        <v>0</v>
      </c>
      <c r="M50" s="269">
        <f t="shared" si="8"/>
        <v>0</v>
      </c>
      <c r="N50" s="233">
        <f>VLOOKUP(B50,Dados!$L$86:$P$90,5)</f>
        <v>4.7500000000000007E-2</v>
      </c>
      <c r="O50" s="270">
        <f t="shared" si="55"/>
        <v>0.9524999999999999</v>
      </c>
      <c r="P50" s="269">
        <f t="shared" si="56"/>
        <v>0</v>
      </c>
      <c r="Q50" s="269" t="e">
        <f t="shared" si="57"/>
        <v>#DIV/0!</v>
      </c>
      <c r="R50" s="269">
        <f t="shared" si="58"/>
        <v>0</v>
      </c>
      <c r="S50" s="269" t="e">
        <f t="shared" si="59"/>
        <v>#DIV/0!</v>
      </c>
      <c r="T50" s="269" t="e">
        <f t="shared" si="38"/>
        <v>#DIV/0!</v>
      </c>
      <c r="U50" s="234">
        <f t="shared" si="60"/>
        <v>0</v>
      </c>
      <c r="V50" s="232">
        <f t="shared" si="61"/>
        <v>0</v>
      </c>
      <c r="W50" s="269" t="e">
        <f t="shared" si="62"/>
        <v>#DIV/0!</v>
      </c>
      <c r="X50" s="235">
        <f t="shared" si="14"/>
        <v>0</v>
      </c>
      <c r="Y50" s="236">
        <f t="shared" si="63"/>
        <v>4</v>
      </c>
      <c r="Z50" s="236" t="e">
        <f t="shared" si="64"/>
        <v>#DIV/0!</v>
      </c>
      <c r="AA50" s="236">
        <f t="shared" si="65"/>
        <v>2</v>
      </c>
      <c r="AB50" s="236" t="e">
        <f t="shared" si="66"/>
        <v>#DIV/0!</v>
      </c>
      <c r="AC50" s="235" t="e">
        <f t="shared" si="67"/>
        <v>#DIV/0!</v>
      </c>
      <c r="AD50" s="235">
        <f t="shared" si="68"/>
        <v>0</v>
      </c>
      <c r="AE50" s="279" t="e">
        <f t="shared" si="69"/>
        <v>#DIV/0!</v>
      </c>
      <c r="AF50" s="232">
        <f t="shared" si="70"/>
        <v>1</v>
      </c>
      <c r="AG50" s="235">
        <f t="shared" si="71"/>
        <v>5</v>
      </c>
      <c r="AH50" s="269" t="e">
        <f t="shared" si="72"/>
        <v>#DIV/0!</v>
      </c>
      <c r="AI50" s="232">
        <f t="shared" si="73"/>
        <v>1</v>
      </c>
      <c r="AJ50" s="235">
        <f t="shared" si="74"/>
        <v>3</v>
      </c>
      <c r="AK50" s="269" t="e">
        <f t="shared" si="75"/>
        <v>#DIV/0!</v>
      </c>
      <c r="AL50" s="269">
        <f t="shared" si="27"/>
        <v>0</v>
      </c>
      <c r="AM50" s="281">
        <f>IF(B50&gt;=mpfo,pos*vvm*Dados!$E$122*(ntudv-SUM(U51:$U$301))-SUM($AM$13:AM49),0)</f>
        <v>0</v>
      </c>
      <c r="AN50" s="269" t="e">
        <f t="shared" si="76"/>
        <v>#DIV/0!</v>
      </c>
      <c r="AO50" s="232" t="e">
        <f t="shared" si="77"/>
        <v>#DIV/0!</v>
      </c>
      <c r="AP50" s="242" t="e">
        <f t="shared" si="78"/>
        <v>#DIV/0!</v>
      </c>
      <c r="AQ50" s="235" t="e">
        <f>IF(AP50+SUM($AQ$12:AQ49)&gt;=0,0,-AP50-SUM($AQ$12:AQ49))</f>
        <v>#DIV/0!</v>
      </c>
      <c r="AR50" s="235">
        <f>IF(SUM($N$13:N49)&gt;=pmo,IF(SUM(N49:$N$501)&gt;(1-pmo),B50,0),0)</f>
        <v>0</v>
      </c>
      <c r="AS50" s="235" t="e">
        <f>IF((SUM($U$13:$U49)/ntudv)&gt;=pmv,IF((SUM($U49:$U$501)/ntudv)&gt;(1-pmv),B50,0),0)</f>
        <v>#DIV/0!</v>
      </c>
      <c r="AT50" s="237" t="e">
        <f>IF(MAX(mmo,mmv)=mmo,IF(B50=AR50,(SUM(N$13:$N49)-pmo)/((1-VLOOKUP(MAX(mmo,mmv)-1,$B$13:$O$501,14))+(VLOOKUP(MAX(mmo,mmv)-1,$B$13:$O$501,14)-pmo)),N49/((1-VLOOKUP(MAX(mmo,mmv)-1,$B$13:$O$501,14)+(VLOOKUP(MAX(mmo,mmv)-1,$B$13:$O$501,14)-pmo)))),N49/(1-VLOOKUP(MAX(mmo,mmv)-2,$B$13:$O$501,14)))</f>
        <v>#DIV/0!</v>
      </c>
      <c r="AU50" s="101" t="e">
        <f t="shared" si="29"/>
        <v>#DIV/0!</v>
      </c>
      <c r="AV50" s="287" t="e">
        <f t="shared" si="30"/>
        <v>#DIV/0!</v>
      </c>
      <c r="AW50" s="235" t="e">
        <f t="shared" si="79"/>
        <v>#DIV/0!</v>
      </c>
      <c r="AX50" s="281" t="e">
        <f>IF(B50&gt;mpfo,0,IF(B50=mpfo,(vld-teo*(1+tcfo-incc)^(MAX(mmo,mmv)-mbfo))*-1,IF(SUM($N$13:N49)&gt;=pmo,IF(($V49/ntudv)&gt;=pmv,IF(B50=MAX(mmo,mmv),-teo*(1+tcfo-incc)^(B50-mbfo),0),0),0)))</f>
        <v>#DIV/0!</v>
      </c>
      <c r="AY50" s="292" t="e">
        <f t="shared" si="32"/>
        <v>#DIV/0!</v>
      </c>
      <c r="AZ50" s="235" t="e">
        <f t="shared" si="80"/>
        <v>#DIV/0!</v>
      </c>
      <c r="BA50" s="269" t="e">
        <f t="shared" si="81"/>
        <v>#DIV/0!</v>
      </c>
      <c r="BB50" s="292" t="e">
        <f t="shared" si="82"/>
        <v>#DIV/0!</v>
      </c>
      <c r="BC50" s="238" t="e">
        <f>IF(SUM($BC$13:BC49)&gt;0,0,IF(BB50&gt;0,B50,0))</f>
        <v>#DIV/0!</v>
      </c>
      <c r="BD50" s="292" t="e">
        <f>IF(BB50+SUM($BD$12:BD49)&gt;=0,0,-BB50-SUM($BD$12:BD49))</f>
        <v>#DIV/0!</v>
      </c>
      <c r="BE50" s="235" t="e">
        <f>BB50+SUM($BD$12:BD50)</f>
        <v>#DIV/0!</v>
      </c>
      <c r="BF50" s="292" t="e">
        <f>-MIN(BE50:$BE$501)-SUM(BF$12:$BF49)</f>
        <v>#DIV/0!</v>
      </c>
      <c r="BG50" s="235" t="e">
        <f t="shared" si="47"/>
        <v>#DIV/0!</v>
      </c>
    </row>
    <row r="51" spans="2:59">
      <c r="B51" s="120">
        <v>38</v>
      </c>
      <c r="C51" s="241">
        <f t="shared" si="43"/>
        <v>43835</v>
      </c>
      <c r="D51" s="229">
        <f t="shared" si="48"/>
        <v>1</v>
      </c>
      <c r="E51" s="230" t="str">
        <f t="shared" si="49"/>
        <v>Concl. Obras</v>
      </c>
      <c r="F51" s="231">
        <f t="shared" si="50"/>
        <v>0</v>
      </c>
      <c r="G51" s="231">
        <f t="shared" si="51"/>
        <v>0</v>
      </c>
      <c r="H51" s="231">
        <f t="shared" si="52"/>
        <v>0</v>
      </c>
      <c r="I51" s="268">
        <f t="shared" si="5"/>
        <v>0</v>
      </c>
      <c r="J51" s="269">
        <f t="shared" si="53"/>
        <v>0</v>
      </c>
      <c r="K51" s="269">
        <f t="shared" si="54"/>
        <v>0</v>
      </c>
      <c r="L51" s="269">
        <f t="shared" si="7"/>
        <v>0</v>
      </c>
      <c r="M51" s="269">
        <f t="shared" si="8"/>
        <v>0</v>
      </c>
      <c r="N51" s="233">
        <f>VLOOKUP(B51,Dados!$L$86:$P$90,5)</f>
        <v>4.7500000000000007E-2</v>
      </c>
      <c r="O51" s="270">
        <f t="shared" si="55"/>
        <v>0.99999999999999989</v>
      </c>
      <c r="P51" s="269">
        <f t="shared" si="56"/>
        <v>0</v>
      </c>
      <c r="Q51" s="269" t="e">
        <f t="shared" si="57"/>
        <v>#DIV/0!</v>
      </c>
      <c r="R51" s="269">
        <f t="shared" si="58"/>
        <v>0</v>
      </c>
      <c r="S51" s="269" t="e">
        <f t="shared" si="59"/>
        <v>#DIV/0!</v>
      </c>
      <c r="T51" s="269" t="e">
        <f t="shared" si="38"/>
        <v>#DIV/0!</v>
      </c>
      <c r="U51" s="234">
        <f t="shared" si="60"/>
        <v>0</v>
      </c>
      <c r="V51" s="232">
        <f t="shared" si="61"/>
        <v>0</v>
      </c>
      <c r="W51" s="269" t="e">
        <f t="shared" si="62"/>
        <v>#DIV/0!</v>
      </c>
      <c r="X51" s="235">
        <f t="shared" si="14"/>
        <v>0</v>
      </c>
      <c r="Y51" s="236">
        <f t="shared" si="63"/>
        <v>5</v>
      </c>
      <c r="Z51" s="236" t="e">
        <f t="shared" si="64"/>
        <v>#DIV/0!</v>
      </c>
      <c r="AA51" s="236">
        <f t="shared" si="65"/>
        <v>3</v>
      </c>
      <c r="AB51" s="236" t="e">
        <f t="shared" si="66"/>
        <v>#DIV/0!</v>
      </c>
      <c r="AC51" s="235" t="e">
        <f t="shared" si="67"/>
        <v>#DIV/0!</v>
      </c>
      <c r="AD51" s="235">
        <f t="shared" si="68"/>
        <v>0</v>
      </c>
      <c r="AE51" s="279" t="e">
        <f t="shared" si="69"/>
        <v>#DIV/0!</v>
      </c>
      <c r="AF51" s="232">
        <f t="shared" si="70"/>
        <v>0</v>
      </c>
      <c r="AG51" s="235">
        <f t="shared" si="71"/>
        <v>5</v>
      </c>
      <c r="AH51" s="269" t="e">
        <f t="shared" si="72"/>
        <v>#DIV/0!</v>
      </c>
      <c r="AI51" s="232">
        <f t="shared" si="73"/>
        <v>0</v>
      </c>
      <c r="AJ51" s="235">
        <f t="shared" si="74"/>
        <v>3</v>
      </c>
      <c r="AK51" s="269" t="e">
        <f t="shared" si="75"/>
        <v>#DIV/0!</v>
      </c>
      <c r="AL51" s="269">
        <f t="shared" si="27"/>
        <v>0</v>
      </c>
      <c r="AM51" s="281">
        <f>IF(B51&gt;=mpfo,pos*vvm*Dados!$E$122*(ntudv-SUM(U52:$U$301))-SUM($AM$13:AM50),0)</f>
        <v>0</v>
      </c>
      <c r="AN51" s="269" t="e">
        <f t="shared" si="76"/>
        <v>#DIV/0!</v>
      </c>
      <c r="AO51" s="232" t="e">
        <f t="shared" si="77"/>
        <v>#DIV/0!</v>
      </c>
      <c r="AP51" s="242" t="e">
        <f t="shared" si="78"/>
        <v>#DIV/0!</v>
      </c>
      <c r="AQ51" s="235" t="e">
        <f>IF(AP51+SUM($AQ$12:AQ50)&gt;=0,0,-AP51-SUM($AQ$12:AQ50))</f>
        <v>#DIV/0!</v>
      </c>
      <c r="AR51" s="235">
        <f>IF(SUM($N$13:N50)&gt;=pmo,IF(SUM(N50:$N$501)&gt;(1-pmo),B51,0),0)</f>
        <v>0</v>
      </c>
      <c r="AS51" s="235" t="e">
        <f>IF((SUM($U$13:$U50)/ntudv)&gt;=pmv,IF((SUM($U50:$U$501)/ntudv)&gt;(1-pmv),B51,0),0)</f>
        <v>#DIV/0!</v>
      </c>
      <c r="AT51" s="237" t="e">
        <f>IF(MAX(mmo,mmv)=mmo,IF(B51=AR51,(SUM(N$13:$N50)-pmo)/((1-VLOOKUP(MAX(mmo,mmv)-1,$B$13:$O$501,14))+(VLOOKUP(MAX(mmo,mmv)-1,$B$13:$O$501,14)-pmo)),N50/((1-VLOOKUP(MAX(mmo,mmv)-1,$B$13:$O$501,14)+(VLOOKUP(MAX(mmo,mmv)-1,$B$13:$O$501,14)-pmo)))),N50/(1-VLOOKUP(MAX(mmo,mmv)-2,$B$13:$O$501,14)))</f>
        <v>#DIV/0!</v>
      </c>
      <c r="AU51" s="101" t="e">
        <f t="shared" si="29"/>
        <v>#DIV/0!</v>
      </c>
      <c r="AV51" s="287" t="e">
        <f t="shared" si="30"/>
        <v>#DIV/0!</v>
      </c>
      <c r="AW51" s="235" t="e">
        <f t="shared" si="79"/>
        <v>#DIV/0!</v>
      </c>
      <c r="AX51" s="281" t="e">
        <f>IF(B51&gt;mpfo,0,IF(B51=mpfo,(vld-teo*(1+tcfo-incc)^(MAX(mmo,mmv)-mbfo))*-1,IF(SUM($N$13:N50)&gt;=pmo,IF(($V50/ntudv)&gt;=pmv,IF(B51=MAX(mmo,mmv),-teo*(1+tcfo-incc)^(B51-mbfo),0),0),0)))</f>
        <v>#DIV/0!</v>
      </c>
      <c r="AY51" s="292" t="e">
        <f t="shared" si="32"/>
        <v>#DIV/0!</v>
      </c>
      <c r="AZ51" s="235" t="e">
        <f t="shared" si="80"/>
        <v>#DIV/0!</v>
      </c>
      <c r="BA51" s="269" t="e">
        <f t="shared" si="81"/>
        <v>#DIV/0!</v>
      </c>
      <c r="BB51" s="292" t="e">
        <f t="shared" si="82"/>
        <v>#DIV/0!</v>
      </c>
      <c r="BC51" s="238" t="e">
        <f>IF(SUM($BC$13:BC50)&gt;0,0,IF(BB51&gt;0,B51,0))</f>
        <v>#DIV/0!</v>
      </c>
      <c r="BD51" s="292" t="e">
        <f>IF(BB51+SUM($BD$12:BD50)&gt;=0,0,-BB51-SUM($BD$12:BD50))</f>
        <v>#DIV/0!</v>
      </c>
      <c r="BE51" s="235" t="e">
        <f>BB51+SUM($BD$12:BD51)</f>
        <v>#DIV/0!</v>
      </c>
      <c r="BF51" s="292" t="e">
        <f>-MIN(BE51:$BE$501)-SUM(BF$12:$BF50)</f>
        <v>#DIV/0!</v>
      </c>
      <c r="BG51" s="235" t="e">
        <f t="shared" si="47"/>
        <v>#DIV/0!</v>
      </c>
    </row>
    <row r="52" spans="2:59">
      <c r="B52" s="246">
        <v>39</v>
      </c>
      <c r="C52" s="241">
        <f t="shared" si="43"/>
        <v>43866</v>
      </c>
      <c r="D52" s="229">
        <f t="shared" si="48"/>
        <v>2</v>
      </c>
      <c r="E52" s="230" t="str">
        <f t="shared" si="49"/>
        <v>-</v>
      </c>
      <c r="F52" s="231">
        <f t="shared" si="50"/>
        <v>0</v>
      </c>
      <c r="G52" s="231">
        <f t="shared" si="51"/>
        <v>0</v>
      </c>
      <c r="H52" s="231">
        <f t="shared" si="52"/>
        <v>0</v>
      </c>
      <c r="I52" s="268">
        <f t="shared" si="5"/>
        <v>0</v>
      </c>
      <c r="J52" s="269">
        <f t="shared" si="53"/>
        <v>0</v>
      </c>
      <c r="K52" s="269">
        <f t="shared" si="54"/>
        <v>0</v>
      </c>
      <c r="L52" s="269">
        <f t="shared" si="7"/>
        <v>0</v>
      </c>
      <c r="M52" s="269">
        <f t="shared" si="8"/>
        <v>0</v>
      </c>
      <c r="N52" s="233">
        <f>VLOOKUP(B52,Dados!$L$86:$P$90,5)</f>
        <v>0</v>
      </c>
      <c r="O52" s="270">
        <f t="shared" si="55"/>
        <v>0.99999999999999989</v>
      </c>
      <c r="P52" s="269">
        <f t="shared" si="56"/>
        <v>0</v>
      </c>
      <c r="Q52" s="269" t="e">
        <f t="shared" si="57"/>
        <v>#DIV/0!</v>
      </c>
      <c r="R52" s="269">
        <f t="shared" si="58"/>
        <v>0</v>
      </c>
      <c r="S52" s="269" t="e">
        <f t="shared" si="59"/>
        <v>#DIV/0!</v>
      </c>
      <c r="T52" s="269" t="e">
        <f t="shared" si="38"/>
        <v>#DIV/0!</v>
      </c>
      <c r="U52" s="234" t="e">
        <f t="shared" si="60"/>
        <v>#DIV/0!</v>
      </c>
      <c r="V52" s="232" t="e">
        <f t="shared" si="61"/>
        <v>#DIV/0!</v>
      </c>
      <c r="W52" s="269" t="e">
        <f t="shared" si="62"/>
        <v>#DIV/0!</v>
      </c>
      <c r="X52" s="235" t="e">
        <f t="shared" si="14"/>
        <v>#DIV/0!</v>
      </c>
      <c r="Y52" s="236">
        <f t="shared" si="63"/>
        <v>5</v>
      </c>
      <c r="Z52" s="236" t="e">
        <f t="shared" si="64"/>
        <v>#DIV/0!</v>
      </c>
      <c r="AA52" s="236">
        <f t="shared" si="65"/>
        <v>3</v>
      </c>
      <c r="AB52" s="236" t="e">
        <f t="shared" si="66"/>
        <v>#DIV/0!</v>
      </c>
      <c r="AC52" s="235" t="e">
        <f t="shared" si="67"/>
        <v>#DIV/0!</v>
      </c>
      <c r="AD52" s="235">
        <f t="shared" si="68"/>
        <v>0</v>
      </c>
      <c r="AE52" s="279" t="e">
        <f t="shared" si="69"/>
        <v>#DIV/0!</v>
      </c>
      <c r="AF52" s="232">
        <f t="shared" si="70"/>
        <v>0</v>
      </c>
      <c r="AG52" s="235">
        <f t="shared" si="71"/>
        <v>0</v>
      </c>
      <c r="AH52" s="269">
        <f t="shared" si="72"/>
        <v>0</v>
      </c>
      <c r="AI52" s="232">
        <f t="shared" si="73"/>
        <v>0</v>
      </c>
      <c r="AJ52" s="235">
        <f t="shared" si="74"/>
        <v>0</v>
      </c>
      <c r="AK52" s="269">
        <f t="shared" si="75"/>
        <v>0</v>
      </c>
      <c r="AL52" s="269">
        <f t="shared" si="27"/>
        <v>0</v>
      </c>
      <c r="AM52" s="281">
        <f>IF(B52&gt;=mpfo,pos*vvm*Dados!$E$122*(ntudv-SUM(U53:$U$301))-SUM($AM$13:AM51),0)</f>
        <v>0</v>
      </c>
      <c r="AN52" s="269" t="e">
        <f t="shared" si="76"/>
        <v>#DIV/0!</v>
      </c>
      <c r="AO52" s="232" t="e">
        <f t="shared" si="77"/>
        <v>#DIV/0!</v>
      </c>
      <c r="AP52" s="242" t="e">
        <f t="shared" si="78"/>
        <v>#DIV/0!</v>
      </c>
      <c r="AQ52" s="235" t="e">
        <f>IF(AP52+SUM($AQ$12:AQ51)&gt;=0,0,-AP52-SUM($AQ$12:AQ51))</f>
        <v>#DIV/0!</v>
      </c>
      <c r="AR52" s="235">
        <f>IF(SUM($N$13:N51)&gt;=pmo,IF(SUM(N51:$N$501)&gt;(1-pmo),B52,0),0)</f>
        <v>0</v>
      </c>
      <c r="AS52" s="235" t="e">
        <f>IF((SUM($U$13:$U51)/ntudv)&gt;=pmv,IF((SUM($U51:$U$501)/ntudv)&gt;(1-pmv),B52,0),0)</f>
        <v>#DIV/0!</v>
      </c>
      <c r="AT52" s="237" t="e">
        <f>IF(MAX(mmo,mmv)=mmo,IF(B52=AR52,(SUM(N$13:$N51)-pmo)/((1-VLOOKUP(MAX(mmo,mmv)-1,$B$13:$O$501,14))+(VLOOKUP(MAX(mmo,mmv)-1,$B$13:$O$501,14)-pmo)),N51/((1-VLOOKUP(MAX(mmo,mmv)-1,$B$13:$O$501,14)+(VLOOKUP(MAX(mmo,mmv)-1,$B$13:$O$501,14)-pmo)))),N51/(1-VLOOKUP(MAX(mmo,mmv)-2,$B$13:$O$501,14)))</f>
        <v>#DIV/0!</v>
      </c>
      <c r="AU52" s="101" t="e">
        <f t="shared" si="29"/>
        <v>#DIV/0!</v>
      </c>
      <c r="AV52" s="287" t="e">
        <f t="shared" si="30"/>
        <v>#DIV/0!</v>
      </c>
      <c r="AW52" s="235" t="e">
        <f t="shared" si="79"/>
        <v>#DIV/0!</v>
      </c>
      <c r="AX52" s="281" t="e">
        <f>IF(B52&gt;mpfo,0,IF(B52=mpfo,(vld-teo*(1+tcfo-incc)^(MAX(mmo,mmv)-mbfo))*-1,IF(SUM($N$13:N51)&gt;=pmo,IF(($V51/ntudv)&gt;=pmv,IF(B52=MAX(mmo,mmv),-teo*(1+tcfo-incc)^(B52-mbfo),0),0),0)))</f>
        <v>#DIV/0!</v>
      </c>
      <c r="AY52" s="292" t="e">
        <f t="shared" si="32"/>
        <v>#DIV/0!</v>
      </c>
      <c r="AZ52" s="235" t="e">
        <f t="shared" si="80"/>
        <v>#DIV/0!</v>
      </c>
      <c r="BA52" s="269" t="e">
        <f t="shared" si="81"/>
        <v>#DIV/0!</v>
      </c>
      <c r="BB52" s="292" t="e">
        <f t="shared" si="82"/>
        <v>#DIV/0!</v>
      </c>
      <c r="BC52" s="238" t="e">
        <f>IF(SUM($BC$13:BC51)&gt;0,0,IF(BB52&gt;0,B52,0))</f>
        <v>#DIV/0!</v>
      </c>
      <c r="BD52" s="292" t="e">
        <f>IF(BB52+SUM($BD$12:BD51)&gt;=0,0,-BB52-SUM($BD$12:BD51))</f>
        <v>#DIV/0!</v>
      </c>
      <c r="BE52" s="235" t="e">
        <f>BB52+SUM($BD$12:BD52)</f>
        <v>#DIV/0!</v>
      </c>
      <c r="BF52" s="292" t="e">
        <f>-MIN(BE52:$BE$501)-SUM(BF$12:$BF51)</f>
        <v>#DIV/0!</v>
      </c>
      <c r="BG52" s="235" t="e">
        <f t="shared" si="47"/>
        <v>#DIV/0!</v>
      </c>
    </row>
    <row r="53" spans="2:59">
      <c r="B53" s="120">
        <v>40</v>
      </c>
      <c r="C53" s="241">
        <f t="shared" si="43"/>
        <v>43895</v>
      </c>
      <c r="D53" s="229">
        <f t="shared" si="48"/>
        <v>3</v>
      </c>
      <c r="E53" s="230" t="str">
        <f t="shared" si="49"/>
        <v>-</v>
      </c>
      <c r="F53" s="231">
        <f t="shared" si="50"/>
        <v>0</v>
      </c>
      <c r="G53" s="231">
        <f t="shared" si="51"/>
        <v>0</v>
      </c>
      <c r="H53" s="231">
        <f t="shared" si="52"/>
        <v>0</v>
      </c>
      <c r="I53" s="268">
        <f t="shared" si="5"/>
        <v>0</v>
      </c>
      <c r="J53" s="269">
        <f t="shared" si="53"/>
        <v>0</v>
      </c>
      <c r="K53" s="269">
        <f t="shared" si="54"/>
        <v>0</v>
      </c>
      <c r="L53" s="269">
        <f t="shared" si="7"/>
        <v>0</v>
      </c>
      <c r="M53" s="269">
        <f t="shared" si="8"/>
        <v>0</v>
      </c>
      <c r="N53" s="233">
        <f>VLOOKUP(B53,Dados!$L$86:$P$90,5)</f>
        <v>0</v>
      </c>
      <c r="O53" s="270">
        <f t="shared" si="55"/>
        <v>0.99999999999999989</v>
      </c>
      <c r="P53" s="269">
        <f t="shared" si="56"/>
        <v>0</v>
      </c>
      <c r="Q53" s="269" t="e">
        <f t="shared" si="57"/>
        <v>#DIV/0!</v>
      </c>
      <c r="R53" s="269">
        <f t="shared" si="58"/>
        <v>0</v>
      </c>
      <c r="S53" s="269" t="e">
        <f t="shared" si="59"/>
        <v>#DIV/0!</v>
      </c>
      <c r="T53" s="269" t="e">
        <f t="shared" si="38"/>
        <v>#DIV/0!</v>
      </c>
      <c r="U53" s="234">
        <f t="shared" si="60"/>
        <v>0</v>
      </c>
      <c r="V53" s="232" t="e">
        <f t="shared" si="61"/>
        <v>#DIV/0!</v>
      </c>
      <c r="W53" s="269" t="e">
        <f t="shared" si="62"/>
        <v>#DIV/0!</v>
      </c>
      <c r="X53" s="235">
        <f t="shared" si="14"/>
        <v>0</v>
      </c>
      <c r="Y53" s="236">
        <f t="shared" si="63"/>
        <v>5</v>
      </c>
      <c r="Z53" s="236" t="e">
        <f t="shared" si="64"/>
        <v>#DIV/0!</v>
      </c>
      <c r="AA53" s="236">
        <f t="shared" si="65"/>
        <v>3</v>
      </c>
      <c r="AB53" s="236" t="e">
        <f t="shared" si="66"/>
        <v>#DIV/0!</v>
      </c>
      <c r="AC53" s="235" t="e">
        <f t="shared" si="67"/>
        <v>#DIV/0!</v>
      </c>
      <c r="AD53" s="235">
        <f t="shared" si="68"/>
        <v>0</v>
      </c>
      <c r="AE53" s="279" t="e">
        <f t="shared" si="69"/>
        <v>#DIV/0!</v>
      </c>
      <c r="AF53" s="232">
        <f t="shared" si="70"/>
        <v>0</v>
      </c>
      <c r="AG53" s="235">
        <f t="shared" si="71"/>
        <v>0</v>
      </c>
      <c r="AH53" s="269">
        <f t="shared" si="72"/>
        <v>0</v>
      </c>
      <c r="AI53" s="232">
        <f t="shared" si="73"/>
        <v>0</v>
      </c>
      <c r="AJ53" s="235">
        <f t="shared" si="74"/>
        <v>0</v>
      </c>
      <c r="AK53" s="269">
        <f t="shared" si="75"/>
        <v>0</v>
      </c>
      <c r="AL53" s="269">
        <f t="shared" si="27"/>
        <v>0</v>
      </c>
      <c r="AM53" s="281">
        <f>IF(B53&gt;=mpfo,pos*vvm*Dados!$E$122*(ntudv-SUM(U54:$U$301))-SUM($AM$13:AM52),0)</f>
        <v>0</v>
      </c>
      <c r="AN53" s="269" t="e">
        <f t="shared" si="76"/>
        <v>#DIV/0!</v>
      </c>
      <c r="AO53" s="232" t="e">
        <f t="shared" si="77"/>
        <v>#DIV/0!</v>
      </c>
      <c r="AP53" s="242" t="e">
        <f t="shared" si="78"/>
        <v>#DIV/0!</v>
      </c>
      <c r="AQ53" s="235" t="e">
        <f>IF(AP53+SUM($AQ$12:AQ52)&gt;=0,0,-AP53-SUM($AQ$12:AQ52))</f>
        <v>#DIV/0!</v>
      </c>
      <c r="AR53" s="235">
        <f>IF(SUM($N$13:N52)&gt;=pmo,IF(SUM(N52:$N$501)&gt;(1-pmo),B53,0),0)</f>
        <v>0</v>
      </c>
      <c r="AS53" s="235" t="e">
        <f>IF((SUM($U$13:$U52)/ntudv)&gt;=pmv,IF((SUM($U52:$U$501)/ntudv)&gt;(1-pmv),B53,0),0)</f>
        <v>#DIV/0!</v>
      </c>
      <c r="AT53" s="237" t="e">
        <f>IF(MAX(mmo,mmv)=mmo,IF(B53=AR53,(SUM(N$13:$N52)-pmo)/((1-VLOOKUP(MAX(mmo,mmv)-1,$B$13:$O$501,14))+(VLOOKUP(MAX(mmo,mmv)-1,$B$13:$O$501,14)-pmo)),N52/((1-VLOOKUP(MAX(mmo,mmv)-1,$B$13:$O$501,14)+(VLOOKUP(MAX(mmo,mmv)-1,$B$13:$O$501,14)-pmo)))),N52/(1-VLOOKUP(MAX(mmo,mmv)-2,$B$13:$O$501,14)))</f>
        <v>#DIV/0!</v>
      </c>
      <c r="AU53" s="101" t="e">
        <f t="shared" si="29"/>
        <v>#DIV/0!</v>
      </c>
      <c r="AV53" s="287" t="e">
        <f t="shared" si="30"/>
        <v>#DIV/0!</v>
      </c>
      <c r="AW53" s="235" t="e">
        <f t="shared" si="79"/>
        <v>#DIV/0!</v>
      </c>
      <c r="AX53" s="281" t="e">
        <f>IF(B53&gt;mpfo,0,IF(B53=mpfo,(vld-teo*(1+tcfo-incc)^(MAX(mmo,mmv)-mbfo))*-1,IF(SUM($N$13:N52)&gt;=pmo,IF(($V52/ntudv)&gt;=pmv,IF(B53=MAX(mmo,mmv),-teo*(1+tcfo-incc)^(B53-mbfo),0),0),0)))</f>
        <v>#DIV/0!</v>
      </c>
      <c r="AY53" s="292" t="e">
        <f t="shared" si="32"/>
        <v>#DIV/0!</v>
      </c>
      <c r="AZ53" s="235" t="e">
        <f t="shared" si="80"/>
        <v>#DIV/0!</v>
      </c>
      <c r="BA53" s="269" t="e">
        <f t="shared" si="81"/>
        <v>#DIV/0!</v>
      </c>
      <c r="BB53" s="292" t="e">
        <f t="shared" si="82"/>
        <v>#DIV/0!</v>
      </c>
      <c r="BC53" s="238" t="e">
        <f>IF(SUM($BC$13:BC52)&gt;0,0,IF(BB53&gt;0,B53,0))</f>
        <v>#DIV/0!</v>
      </c>
      <c r="BD53" s="292" t="e">
        <f>IF(BB53+SUM($BD$12:BD52)&gt;=0,0,-BB53-SUM($BD$12:BD52))</f>
        <v>#DIV/0!</v>
      </c>
      <c r="BE53" s="235" t="e">
        <f>BB53+SUM($BD$12:BD53)</f>
        <v>#DIV/0!</v>
      </c>
      <c r="BF53" s="292" t="e">
        <f>-MIN(BE53:$BE$501)-SUM(BF$12:$BF52)</f>
        <v>#DIV/0!</v>
      </c>
      <c r="BG53" s="235" t="e">
        <f t="shared" si="47"/>
        <v>#DIV/0!</v>
      </c>
    </row>
    <row r="54" spans="2:59">
      <c r="B54" s="246">
        <v>41</v>
      </c>
      <c r="C54" s="241">
        <f t="shared" si="43"/>
        <v>43926</v>
      </c>
      <c r="D54" s="229">
        <f t="shared" si="48"/>
        <v>4</v>
      </c>
      <c r="E54" s="230" t="str">
        <f t="shared" si="49"/>
        <v>Chaves</v>
      </c>
      <c r="F54" s="231">
        <f t="shared" si="50"/>
        <v>0</v>
      </c>
      <c r="G54" s="231">
        <f t="shared" si="51"/>
        <v>0</v>
      </c>
      <c r="H54" s="231">
        <f t="shared" si="52"/>
        <v>0</v>
      </c>
      <c r="I54" s="268">
        <f t="shared" si="5"/>
        <v>0</v>
      </c>
      <c r="J54" s="269">
        <f t="shared" si="53"/>
        <v>0</v>
      </c>
      <c r="K54" s="269">
        <f t="shared" si="54"/>
        <v>0</v>
      </c>
      <c r="L54" s="269">
        <f t="shared" si="7"/>
        <v>0</v>
      </c>
      <c r="M54" s="269">
        <f t="shared" si="8"/>
        <v>0</v>
      </c>
      <c r="N54" s="233">
        <f>VLOOKUP(B54,Dados!$L$86:$P$90,5)</f>
        <v>0</v>
      </c>
      <c r="O54" s="270">
        <f t="shared" si="55"/>
        <v>0.99999999999999989</v>
      </c>
      <c r="P54" s="269">
        <f t="shared" si="56"/>
        <v>0</v>
      </c>
      <c r="Q54" s="269" t="e">
        <f t="shared" si="57"/>
        <v>#DIV/0!</v>
      </c>
      <c r="R54" s="269">
        <f t="shared" si="58"/>
        <v>0</v>
      </c>
      <c r="S54" s="269" t="e">
        <f t="shared" si="59"/>
        <v>#DIV/0!</v>
      </c>
      <c r="T54" s="269" t="e">
        <f t="shared" si="38"/>
        <v>#DIV/0!</v>
      </c>
      <c r="U54" s="234">
        <f t="shared" si="60"/>
        <v>0</v>
      </c>
      <c r="V54" s="232" t="e">
        <f t="shared" si="61"/>
        <v>#DIV/0!</v>
      </c>
      <c r="W54" s="269" t="e">
        <f t="shared" si="62"/>
        <v>#DIV/0!</v>
      </c>
      <c r="X54" s="235">
        <f t="shared" si="14"/>
        <v>0</v>
      </c>
      <c r="Y54" s="236">
        <f t="shared" si="63"/>
        <v>5</v>
      </c>
      <c r="Z54" s="236" t="e">
        <f t="shared" si="64"/>
        <v>#DIV/0!</v>
      </c>
      <c r="AA54" s="236">
        <f t="shared" si="65"/>
        <v>3</v>
      </c>
      <c r="AB54" s="236" t="e">
        <f t="shared" si="66"/>
        <v>#DIV/0!</v>
      </c>
      <c r="AC54" s="235">
        <f t="shared" si="67"/>
        <v>0</v>
      </c>
      <c r="AD54" s="235">
        <f t="shared" si="68"/>
        <v>0</v>
      </c>
      <c r="AE54" s="279">
        <f t="shared" si="69"/>
        <v>0</v>
      </c>
      <c r="AF54" s="232">
        <f t="shared" si="70"/>
        <v>0</v>
      </c>
      <c r="AG54" s="235">
        <f t="shared" si="71"/>
        <v>0</v>
      </c>
      <c r="AH54" s="269">
        <f t="shared" si="72"/>
        <v>0</v>
      </c>
      <c r="AI54" s="232">
        <f t="shared" si="73"/>
        <v>0</v>
      </c>
      <c r="AJ54" s="235">
        <f t="shared" si="74"/>
        <v>0</v>
      </c>
      <c r="AK54" s="269">
        <f t="shared" si="75"/>
        <v>0</v>
      </c>
      <c r="AL54" s="269" t="e">
        <f t="shared" si="27"/>
        <v>#DIV/0!</v>
      </c>
      <c r="AM54" s="281">
        <f>IF(B54&gt;=mpfo,pos*vvm*Dados!$E$122*(ntudv-SUM(U55:$U$301))-SUM($AM$13:AM53),0)</f>
        <v>0</v>
      </c>
      <c r="AN54" s="269" t="e">
        <f t="shared" si="76"/>
        <v>#DIV/0!</v>
      </c>
      <c r="AO54" s="232" t="e">
        <f t="shared" si="77"/>
        <v>#DIV/0!</v>
      </c>
      <c r="AP54" s="242" t="e">
        <f t="shared" si="78"/>
        <v>#DIV/0!</v>
      </c>
      <c r="AQ54" s="235" t="e">
        <f>IF(AP54+SUM($AQ$12:AQ53)&gt;=0,0,-AP54-SUM($AQ$12:AQ53))</f>
        <v>#DIV/0!</v>
      </c>
      <c r="AR54" s="235">
        <f>IF(SUM($N$13:N53)&gt;=pmo,IF(SUM(N53:$N$501)&gt;(1-pmo),B54,0),0)</f>
        <v>0</v>
      </c>
      <c r="AS54" s="235" t="e">
        <f>IF((SUM($U$13:$U53)/ntudv)&gt;=pmv,IF((SUM($U53:$U$501)/ntudv)&gt;(1-pmv),B54,0),0)</f>
        <v>#DIV/0!</v>
      </c>
      <c r="AT54" s="237" t="e">
        <f>IF(MAX(mmo,mmv)=mmo,IF(B54=AR54,(SUM(N$13:$N53)-pmo)/((1-VLOOKUP(MAX(mmo,mmv)-1,$B$13:$O$501,14))+(VLOOKUP(MAX(mmo,mmv)-1,$B$13:$O$501,14)-pmo)),N53/((1-VLOOKUP(MAX(mmo,mmv)-1,$B$13:$O$501,14)+(VLOOKUP(MAX(mmo,mmv)-1,$B$13:$O$501,14)-pmo)))),N53/(1-VLOOKUP(MAX(mmo,mmv)-2,$B$13:$O$501,14)))</f>
        <v>#DIV/0!</v>
      </c>
      <c r="AU54" s="101" t="e">
        <f t="shared" si="29"/>
        <v>#DIV/0!</v>
      </c>
      <c r="AV54" s="287" t="e">
        <f t="shared" si="30"/>
        <v>#DIV/0!</v>
      </c>
      <c r="AW54" s="235" t="e">
        <f t="shared" si="79"/>
        <v>#DIV/0!</v>
      </c>
      <c r="AX54" s="281" t="e">
        <f>IF(B54&gt;mpfo,0,IF(B54=mpfo,(vld-teo*(1+tcfo-incc)^(MAX(mmo,mmv)-mbfo))*-1,IF(SUM($N$13:N53)&gt;=pmo,IF(($V53/ntudv)&gt;=pmv,IF(B54=MAX(mmo,mmv),-teo*(1+tcfo-incc)^(B54-mbfo),0),0),0)))</f>
        <v>#DIV/0!</v>
      </c>
      <c r="AY54" s="292" t="e">
        <f t="shared" si="32"/>
        <v>#DIV/0!</v>
      </c>
      <c r="AZ54" s="235" t="e">
        <f t="shared" si="80"/>
        <v>#DIV/0!</v>
      </c>
      <c r="BA54" s="269" t="e">
        <f t="shared" si="81"/>
        <v>#DIV/0!</v>
      </c>
      <c r="BB54" s="292" t="e">
        <f t="shared" si="82"/>
        <v>#DIV/0!</v>
      </c>
      <c r="BC54" s="238" t="e">
        <f>IF(SUM($BC$13:BC53)&gt;0,0,IF(BB54&gt;0,B54,0))</f>
        <v>#DIV/0!</v>
      </c>
      <c r="BD54" s="292" t="e">
        <f>IF(BB54+SUM($BD$12:BD53)&gt;=0,0,-BB54-SUM($BD$12:BD53))</f>
        <v>#DIV/0!</v>
      </c>
      <c r="BE54" s="235" t="e">
        <f>BB54+SUM($BD$12:BD54)</f>
        <v>#DIV/0!</v>
      </c>
      <c r="BF54" s="292" t="e">
        <f>-MIN(BE54:$BE$501)-SUM(BF$12:$BF53)</f>
        <v>#DIV/0!</v>
      </c>
      <c r="BG54" s="235" t="e">
        <f t="shared" si="47"/>
        <v>#DIV/0!</v>
      </c>
    </row>
    <row r="55" spans="2:59">
      <c r="B55" s="120">
        <v>42</v>
      </c>
      <c r="C55" s="241">
        <f t="shared" si="43"/>
        <v>43956</v>
      </c>
      <c r="D55" s="229">
        <f t="shared" si="48"/>
        <v>5</v>
      </c>
      <c r="E55" s="230" t="str">
        <f t="shared" si="49"/>
        <v>-</v>
      </c>
      <c r="F55" s="231">
        <f t="shared" si="50"/>
        <v>0</v>
      </c>
      <c r="G55" s="231">
        <f t="shared" si="51"/>
        <v>0</v>
      </c>
      <c r="H55" s="231">
        <f t="shared" si="52"/>
        <v>0</v>
      </c>
      <c r="I55" s="268">
        <f t="shared" si="5"/>
        <v>0</v>
      </c>
      <c r="J55" s="269">
        <f t="shared" si="53"/>
        <v>0</v>
      </c>
      <c r="K55" s="269">
        <f t="shared" si="54"/>
        <v>0</v>
      </c>
      <c r="L55" s="269">
        <f t="shared" si="7"/>
        <v>0</v>
      </c>
      <c r="M55" s="269">
        <f t="shared" si="8"/>
        <v>0</v>
      </c>
      <c r="N55" s="233">
        <f>VLOOKUP(B55,Dados!$L$86:$P$90,5)</f>
        <v>0</v>
      </c>
      <c r="O55" s="270">
        <f t="shared" si="55"/>
        <v>0.99999999999999989</v>
      </c>
      <c r="P55" s="269">
        <f t="shared" si="56"/>
        <v>0</v>
      </c>
      <c r="Q55" s="269" t="e">
        <f t="shared" si="57"/>
        <v>#DIV/0!</v>
      </c>
      <c r="R55" s="269">
        <f t="shared" si="58"/>
        <v>0</v>
      </c>
      <c r="S55" s="269" t="e">
        <f t="shared" si="59"/>
        <v>#DIV/0!</v>
      </c>
      <c r="T55" s="269" t="e">
        <f t="shared" si="38"/>
        <v>#DIV/0!</v>
      </c>
      <c r="U55" s="234">
        <f t="shared" si="60"/>
        <v>0</v>
      </c>
      <c r="V55" s="232" t="e">
        <f t="shared" si="61"/>
        <v>#DIV/0!</v>
      </c>
      <c r="W55" s="269" t="e">
        <f t="shared" si="62"/>
        <v>#DIV/0!</v>
      </c>
      <c r="X55" s="235">
        <f t="shared" si="14"/>
        <v>0</v>
      </c>
      <c r="Y55" s="236">
        <f t="shared" si="63"/>
        <v>5</v>
      </c>
      <c r="Z55" s="236" t="e">
        <f t="shared" si="64"/>
        <v>#DIV/0!</v>
      </c>
      <c r="AA55" s="236">
        <f t="shared" si="65"/>
        <v>3</v>
      </c>
      <c r="AB55" s="236" t="e">
        <f t="shared" si="66"/>
        <v>#DIV/0!</v>
      </c>
      <c r="AC55" s="235">
        <f t="shared" si="67"/>
        <v>0</v>
      </c>
      <c r="AD55" s="235">
        <f t="shared" si="68"/>
        <v>0</v>
      </c>
      <c r="AE55" s="279">
        <f t="shared" si="69"/>
        <v>0</v>
      </c>
      <c r="AF55" s="232">
        <f t="shared" si="70"/>
        <v>0</v>
      </c>
      <c r="AG55" s="235">
        <f t="shared" si="71"/>
        <v>0</v>
      </c>
      <c r="AH55" s="269">
        <f t="shared" si="72"/>
        <v>0</v>
      </c>
      <c r="AI55" s="232">
        <f t="shared" si="73"/>
        <v>0</v>
      </c>
      <c r="AJ55" s="235">
        <f t="shared" si="74"/>
        <v>0</v>
      </c>
      <c r="AK55" s="269">
        <f t="shared" si="75"/>
        <v>0</v>
      </c>
      <c r="AL55" s="269">
        <f t="shared" si="27"/>
        <v>0</v>
      </c>
      <c r="AM55" s="281">
        <f>IF(B55&gt;=mpfo,pos*vvm*Dados!$E$122*(ntudv-SUM(U56:$U$301))-SUM($AM$13:AM54),0)</f>
        <v>0</v>
      </c>
      <c r="AN55" s="269" t="e">
        <f t="shared" si="76"/>
        <v>#DIV/0!</v>
      </c>
      <c r="AO55" s="232" t="e">
        <f t="shared" si="77"/>
        <v>#DIV/0!</v>
      </c>
      <c r="AP55" s="242" t="e">
        <f t="shared" si="78"/>
        <v>#DIV/0!</v>
      </c>
      <c r="AQ55" s="235" t="e">
        <f>IF(AP55+SUM($AQ$12:AQ54)&gt;=0,0,-AP55-SUM($AQ$12:AQ54))</f>
        <v>#DIV/0!</v>
      </c>
      <c r="AR55" s="235">
        <f>IF(SUM($N$13:N54)&gt;=pmo,IF(SUM(N54:$N$501)&gt;(1-pmo),B55,0),0)</f>
        <v>0</v>
      </c>
      <c r="AS55" s="235" t="e">
        <f>IF((SUM($U$13:$U54)/ntudv)&gt;=pmv,IF((SUM($U54:$U$501)/ntudv)&gt;(1-pmv),B55,0),0)</f>
        <v>#DIV/0!</v>
      </c>
      <c r="AT55" s="237" t="e">
        <f>IF(MAX(mmo,mmv)=mmo,IF(B55=AR55,(SUM(N$13:$N54)-pmo)/((1-VLOOKUP(MAX(mmo,mmv)-1,$B$13:$O$501,14))+(VLOOKUP(MAX(mmo,mmv)-1,$B$13:$O$501,14)-pmo)),N54/((1-VLOOKUP(MAX(mmo,mmv)-1,$B$13:$O$501,14)+(VLOOKUP(MAX(mmo,mmv)-1,$B$13:$O$501,14)-pmo)))),N54/(1-VLOOKUP(MAX(mmo,mmv)-2,$B$13:$O$501,14)))</f>
        <v>#DIV/0!</v>
      </c>
      <c r="AU55" s="101" t="e">
        <f t="shared" si="29"/>
        <v>#DIV/0!</v>
      </c>
      <c r="AV55" s="287" t="e">
        <f t="shared" si="30"/>
        <v>#DIV/0!</v>
      </c>
      <c r="AW55" s="235" t="e">
        <f t="shared" si="79"/>
        <v>#DIV/0!</v>
      </c>
      <c r="AX55" s="281" t="e">
        <f>IF(B55&gt;mpfo,0,IF(B55=mpfo,(vld-teo*(1+tcfo-incc)^(MAX(mmo,mmv)-mbfo))*-1,IF(SUM($N$13:N54)&gt;=pmo,IF(($V54/ntudv)&gt;=pmv,IF(B55=MAX(mmo,mmv),-teo*(1+tcfo-incc)^(B55-mbfo),0),0),0)))</f>
        <v>#DIV/0!</v>
      </c>
      <c r="AY55" s="292" t="e">
        <f t="shared" si="32"/>
        <v>#DIV/0!</v>
      </c>
      <c r="AZ55" s="235" t="e">
        <f t="shared" si="80"/>
        <v>#DIV/0!</v>
      </c>
      <c r="BA55" s="269" t="e">
        <f t="shared" si="81"/>
        <v>#DIV/0!</v>
      </c>
      <c r="BB55" s="292" t="e">
        <f t="shared" si="82"/>
        <v>#DIV/0!</v>
      </c>
      <c r="BC55" s="238" t="e">
        <f>IF(SUM($BC$13:BC54)&gt;0,0,IF(BB55&gt;0,B55,0))</f>
        <v>#DIV/0!</v>
      </c>
      <c r="BD55" s="292" t="e">
        <f>IF(BB55+SUM($BD$12:BD54)&gt;=0,0,-BB55-SUM($BD$12:BD54))</f>
        <v>#DIV/0!</v>
      </c>
      <c r="BE55" s="235" t="e">
        <f>BB55+SUM($BD$12:BD55)</f>
        <v>#DIV/0!</v>
      </c>
      <c r="BF55" s="292" t="e">
        <f>-MIN(BE55:$BE$501)-SUM(BF$12:$BF54)</f>
        <v>#DIV/0!</v>
      </c>
      <c r="BG55" s="235" t="e">
        <f t="shared" si="47"/>
        <v>#DIV/0!</v>
      </c>
    </row>
    <row r="56" spans="2:59">
      <c r="B56" s="246">
        <v>43</v>
      </c>
      <c r="C56" s="241">
        <f t="shared" si="43"/>
        <v>43987</v>
      </c>
      <c r="D56" s="229">
        <f t="shared" si="48"/>
        <v>6</v>
      </c>
      <c r="E56" s="230" t="str">
        <f t="shared" si="49"/>
        <v>-</v>
      </c>
      <c r="F56" s="231">
        <f t="shared" si="50"/>
        <v>0</v>
      </c>
      <c r="G56" s="231">
        <f t="shared" si="51"/>
        <v>0</v>
      </c>
      <c r="H56" s="231">
        <f t="shared" si="52"/>
        <v>0</v>
      </c>
      <c r="I56" s="268">
        <f t="shared" si="5"/>
        <v>0</v>
      </c>
      <c r="J56" s="269">
        <f t="shared" si="53"/>
        <v>0</v>
      </c>
      <c r="K56" s="269">
        <f t="shared" si="54"/>
        <v>0</v>
      </c>
      <c r="L56" s="269">
        <f t="shared" si="7"/>
        <v>0</v>
      </c>
      <c r="M56" s="269">
        <f t="shared" si="8"/>
        <v>0</v>
      </c>
      <c r="N56" s="233">
        <f>VLOOKUP(B56,Dados!$L$86:$P$90,5)</f>
        <v>0</v>
      </c>
      <c r="O56" s="270">
        <f t="shared" si="55"/>
        <v>0.99999999999999989</v>
      </c>
      <c r="P56" s="269">
        <f t="shared" si="56"/>
        <v>0</v>
      </c>
      <c r="Q56" s="269" t="e">
        <f t="shared" si="57"/>
        <v>#DIV/0!</v>
      </c>
      <c r="R56" s="269">
        <f t="shared" si="58"/>
        <v>0</v>
      </c>
      <c r="S56" s="269" t="e">
        <f t="shared" si="59"/>
        <v>#DIV/0!</v>
      </c>
      <c r="T56" s="269" t="e">
        <f t="shared" si="38"/>
        <v>#DIV/0!</v>
      </c>
      <c r="U56" s="234">
        <f t="shared" si="60"/>
        <v>0</v>
      </c>
      <c r="V56" s="232" t="e">
        <f t="shared" si="61"/>
        <v>#DIV/0!</v>
      </c>
      <c r="W56" s="269" t="e">
        <f t="shared" si="62"/>
        <v>#DIV/0!</v>
      </c>
      <c r="X56" s="235">
        <f t="shared" si="14"/>
        <v>0</v>
      </c>
      <c r="Y56" s="236">
        <f t="shared" si="63"/>
        <v>5</v>
      </c>
      <c r="Z56" s="236" t="e">
        <f t="shared" si="64"/>
        <v>#DIV/0!</v>
      </c>
      <c r="AA56" s="236">
        <f t="shared" si="65"/>
        <v>3</v>
      </c>
      <c r="AB56" s="236" t="e">
        <f t="shared" si="66"/>
        <v>#DIV/0!</v>
      </c>
      <c r="AC56" s="235">
        <f t="shared" si="67"/>
        <v>0</v>
      </c>
      <c r="AD56" s="235">
        <f t="shared" si="68"/>
        <v>0</v>
      </c>
      <c r="AE56" s="279">
        <f t="shared" si="69"/>
        <v>0</v>
      </c>
      <c r="AF56" s="232">
        <f t="shared" si="70"/>
        <v>1</v>
      </c>
      <c r="AG56" s="235">
        <f t="shared" si="71"/>
        <v>0</v>
      </c>
      <c r="AH56" s="269">
        <f t="shared" si="72"/>
        <v>0</v>
      </c>
      <c r="AI56" s="232">
        <f t="shared" si="73"/>
        <v>0</v>
      </c>
      <c r="AJ56" s="235">
        <f t="shared" si="74"/>
        <v>0</v>
      </c>
      <c r="AK56" s="269">
        <f t="shared" si="75"/>
        <v>0</v>
      </c>
      <c r="AL56" s="269">
        <f t="shared" si="27"/>
        <v>0</v>
      </c>
      <c r="AM56" s="281">
        <f>IF(B56&gt;=mpfo,pos*vvm*Dados!$E$122*(ntudv-SUM(U57:$U$301))-SUM($AM$13:AM55),0)</f>
        <v>0</v>
      </c>
      <c r="AN56" s="269" t="e">
        <f t="shared" si="76"/>
        <v>#DIV/0!</v>
      </c>
      <c r="AO56" s="232" t="e">
        <f t="shared" si="77"/>
        <v>#DIV/0!</v>
      </c>
      <c r="AP56" s="242" t="e">
        <f t="shared" si="78"/>
        <v>#DIV/0!</v>
      </c>
      <c r="AQ56" s="235" t="e">
        <f>IF(AP56+SUM($AQ$12:AQ55)&gt;=0,0,-AP56-SUM($AQ$12:AQ55))</f>
        <v>#DIV/0!</v>
      </c>
      <c r="AR56" s="235">
        <f>IF(SUM($N$13:N55)&gt;=pmo,IF(SUM(N55:$N$501)&gt;(1-pmo),B56,0),0)</f>
        <v>0</v>
      </c>
      <c r="AS56" s="235" t="e">
        <f>IF((SUM($U$13:$U55)/ntudv)&gt;=pmv,IF((SUM($U55:$U$501)/ntudv)&gt;(1-pmv),B56,0),0)</f>
        <v>#DIV/0!</v>
      </c>
      <c r="AT56" s="237" t="e">
        <f>IF(MAX(mmo,mmv)=mmo,IF(B56=AR56,(SUM(N$13:$N55)-pmo)/((1-VLOOKUP(MAX(mmo,mmv)-1,$B$13:$O$501,14))+(VLOOKUP(MAX(mmo,mmv)-1,$B$13:$O$501,14)-pmo)),N55/((1-VLOOKUP(MAX(mmo,mmv)-1,$B$13:$O$501,14)+(VLOOKUP(MAX(mmo,mmv)-1,$B$13:$O$501,14)-pmo)))),N55/(1-VLOOKUP(MAX(mmo,mmv)-2,$B$13:$O$501,14)))</f>
        <v>#DIV/0!</v>
      </c>
      <c r="AU56" s="101" t="e">
        <f t="shared" si="29"/>
        <v>#DIV/0!</v>
      </c>
      <c r="AV56" s="287" t="e">
        <f t="shared" si="30"/>
        <v>#DIV/0!</v>
      </c>
      <c r="AW56" s="235" t="e">
        <f t="shared" si="79"/>
        <v>#DIV/0!</v>
      </c>
      <c r="AX56" s="281" t="e">
        <f>IF(B56&gt;mpfo,0,IF(B56=mpfo,(vld-teo*(1+tcfo-incc)^(MAX(mmo,mmv)-mbfo))*-1,IF(SUM($N$13:N55)&gt;=pmo,IF(($V55/ntudv)&gt;=pmv,IF(B56=MAX(mmo,mmv),-teo*(1+tcfo-incc)^(B56-mbfo),0),0),0)))</f>
        <v>#DIV/0!</v>
      </c>
      <c r="AY56" s="292" t="e">
        <f t="shared" si="32"/>
        <v>#DIV/0!</v>
      </c>
      <c r="AZ56" s="235" t="e">
        <f t="shared" si="80"/>
        <v>#DIV/0!</v>
      </c>
      <c r="BA56" s="269" t="e">
        <f t="shared" si="81"/>
        <v>#DIV/0!</v>
      </c>
      <c r="BB56" s="292" t="e">
        <f t="shared" si="82"/>
        <v>#DIV/0!</v>
      </c>
      <c r="BC56" s="238" t="e">
        <f>IF(SUM($BC$13:BC55)&gt;0,0,IF(BB56&gt;0,B56,0))</f>
        <v>#DIV/0!</v>
      </c>
      <c r="BD56" s="292" t="e">
        <f>IF(BB56+SUM($BD$12:BD55)&gt;=0,0,-BB56-SUM($BD$12:BD55))</f>
        <v>#DIV/0!</v>
      </c>
      <c r="BE56" s="235" t="e">
        <f>BB56+SUM($BD$12:BD56)</f>
        <v>#DIV/0!</v>
      </c>
      <c r="BF56" s="292" t="e">
        <f>-MIN(BE56:$BE$501)-SUM(BF$12:$BF55)</f>
        <v>#DIV/0!</v>
      </c>
      <c r="BG56" s="235" t="e">
        <f t="shared" si="47"/>
        <v>#DIV/0!</v>
      </c>
    </row>
    <row r="57" spans="2:59">
      <c r="B57" s="120">
        <v>44</v>
      </c>
      <c r="C57" s="241">
        <f t="shared" si="43"/>
        <v>44017</v>
      </c>
      <c r="D57" s="229">
        <f t="shared" si="48"/>
        <v>7</v>
      </c>
      <c r="E57" s="230" t="str">
        <f t="shared" si="49"/>
        <v>-</v>
      </c>
      <c r="F57" s="231">
        <f t="shared" si="50"/>
        <v>0</v>
      </c>
      <c r="G57" s="231">
        <f t="shared" si="51"/>
        <v>0</v>
      </c>
      <c r="H57" s="231">
        <f t="shared" si="52"/>
        <v>0</v>
      </c>
      <c r="I57" s="268">
        <f t="shared" si="5"/>
        <v>0</v>
      </c>
      <c r="J57" s="269">
        <f t="shared" si="53"/>
        <v>0</v>
      </c>
      <c r="K57" s="269">
        <f t="shared" si="54"/>
        <v>0</v>
      </c>
      <c r="L57" s="269">
        <f t="shared" si="7"/>
        <v>0</v>
      </c>
      <c r="M57" s="269">
        <f t="shared" si="8"/>
        <v>0</v>
      </c>
      <c r="N57" s="233">
        <f>VLOOKUP(B57,Dados!$L$86:$P$90,5)</f>
        <v>0</v>
      </c>
      <c r="O57" s="270">
        <f t="shared" si="55"/>
        <v>0.99999999999999989</v>
      </c>
      <c r="P57" s="269">
        <f t="shared" si="56"/>
        <v>0</v>
      </c>
      <c r="Q57" s="269" t="e">
        <f t="shared" si="57"/>
        <v>#DIV/0!</v>
      </c>
      <c r="R57" s="269">
        <f t="shared" si="58"/>
        <v>0</v>
      </c>
      <c r="S57" s="269" t="e">
        <f t="shared" si="59"/>
        <v>#DIV/0!</v>
      </c>
      <c r="T57" s="269" t="e">
        <f t="shared" si="38"/>
        <v>#DIV/0!</v>
      </c>
      <c r="U57" s="234">
        <f t="shared" si="60"/>
        <v>0</v>
      </c>
      <c r="V57" s="232" t="e">
        <f t="shared" si="61"/>
        <v>#DIV/0!</v>
      </c>
      <c r="W57" s="269" t="e">
        <f t="shared" si="62"/>
        <v>#DIV/0!</v>
      </c>
      <c r="X57" s="235">
        <f t="shared" si="14"/>
        <v>0</v>
      </c>
      <c r="Y57" s="236">
        <f t="shared" si="63"/>
        <v>5</v>
      </c>
      <c r="Z57" s="236" t="e">
        <f t="shared" si="64"/>
        <v>#DIV/0!</v>
      </c>
      <c r="AA57" s="236">
        <f t="shared" si="65"/>
        <v>3</v>
      </c>
      <c r="AB57" s="236" t="e">
        <f t="shared" si="66"/>
        <v>#DIV/0!</v>
      </c>
      <c r="AC57" s="235">
        <f t="shared" si="67"/>
        <v>0</v>
      </c>
      <c r="AD57" s="235">
        <f t="shared" si="68"/>
        <v>0</v>
      </c>
      <c r="AE57" s="279">
        <f t="shared" si="69"/>
        <v>0</v>
      </c>
      <c r="AF57" s="232">
        <f t="shared" si="70"/>
        <v>0</v>
      </c>
      <c r="AG57" s="235">
        <f t="shared" si="71"/>
        <v>0</v>
      </c>
      <c r="AH57" s="269">
        <f t="shared" si="72"/>
        <v>0</v>
      </c>
      <c r="AI57" s="232">
        <f t="shared" si="73"/>
        <v>0</v>
      </c>
      <c r="AJ57" s="235">
        <f t="shared" si="74"/>
        <v>0</v>
      </c>
      <c r="AK57" s="269">
        <f t="shared" si="75"/>
        <v>0</v>
      </c>
      <c r="AL57" s="269">
        <f t="shared" si="27"/>
        <v>0</v>
      </c>
      <c r="AM57" s="281">
        <f>IF(B57&gt;=mpfo,pos*vvm*Dados!$E$122*(ntudv-SUM(U58:$U$301))-SUM($AM$13:AM56),0)</f>
        <v>0</v>
      </c>
      <c r="AN57" s="269" t="e">
        <f t="shared" si="76"/>
        <v>#DIV/0!</v>
      </c>
      <c r="AO57" s="232" t="e">
        <f t="shared" si="77"/>
        <v>#DIV/0!</v>
      </c>
      <c r="AP57" s="242" t="e">
        <f t="shared" si="78"/>
        <v>#DIV/0!</v>
      </c>
      <c r="AQ57" s="235" t="e">
        <f>IF(AP57+SUM($AQ$12:AQ56)&gt;=0,0,-AP57-SUM($AQ$12:AQ56))</f>
        <v>#DIV/0!</v>
      </c>
      <c r="AR57" s="235">
        <f>IF(SUM($N$13:N56)&gt;=pmo,IF(SUM(N56:$N$501)&gt;(1-pmo),B57,0),0)</f>
        <v>0</v>
      </c>
      <c r="AS57" s="235" t="e">
        <f>IF((SUM($U$13:$U56)/ntudv)&gt;=pmv,IF((SUM($U56:$U$501)/ntudv)&gt;(1-pmv),B57,0),0)</f>
        <v>#DIV/0!</v>
      </c>
      <c r="AT57" s="237" t="e">
        <f>IF(MAX(mmo,mmv)=mmo,IF(B57=AR57,(SUM(N$13:$N56)-pmo)/((1-VLOOKUP(MAX(mmo,mmv)-1,$B$13:$O$501,14))+(VLOOKUP(MAX(mmo,mmv)-1,$B$13:$O$501,14)-pmo)),N56/((1-VLOOKUP(MAX(mmo,mmv)-1,$B$13:$O$501,14)+(VLOOKUP(MAX(mmo,mmv)-1,$B$13:$O$501,14)-pmo)))),N56/(1-VLOOKUP(MAX(mmo,mmv)-2,$B$13:$O$501,14)))</f>
        <v>#DIV/0!</v>
      </c>
      <c r="AU57" s="101" t="e">
        <f t="shared" si="29"/>
        <v>#DIV/0!</v>
      </c>
      <c r="AV57" s="287" t="e">
        <f t="shared" si="30"/>
        <v>#DIV/0!</v>
      </c>
      <c r="AW57" s="235" t="e">
        <f t="shared" si="79"/>
        <v>#DIV/0!</v>
      </c>
      <c r="AX57" s="281" t="e">
        <f>IF(B57&gt;mpfo,0,IF(B57=mpfo,(vld-teo*(1+tcfo-incc)^(MAX(mmo,mmv)-mbfo))*-1,IF(SUM($N$13:N56)&gt;=pmo,IF(($V56/ntudv)&gt;=pmv,IF(B57=MAX(mmo,mmv),-teo*(1+tcfo-incc)^(B57-mbfo),0),0),0)))</f>
        <v>#DIV/0!</v>
      </c>
      <c r="AY57" s="292" t="e">
        <f t="shared" si="32"/>
        <v>#DIV/0!</v>
      </c>
      <c r="AZ57" s="235" t="e">
        <f t="shared" si="80"/>
        <v>#DIV/0!</v>
      </c>
      <c r="BA57" s="269" t="e">
        <f t="shared" si="81"/>
        <v>#DIV/0!</v>
      </c>
      <c r="BB57" s="292" t="e">
        <f t="shared" si="82"/>
        <v>#DIV/0!</v>
      </c>
      <c r="BC57" s="238" t="e">
        <f>IF(SUM($BC$13:BC56)&gt;0,0,IF(BB57&gt;0,B57,0))</f>
        <v>#DIV/0!</v>
      </c>
      <c r="BD57" s="292" t="e">
        <f>IF(BB57+SUM($BD$12:BD56)&gt;=0,0,-BB57-SUM($BD$12:BD56))</f>
        <v>#DIV/0!</v>
      </c>
      <c r="BE57" s="235" t="e">
        <f>BB57+SUM($BD$12:BD57)</f>
        <v>#DIV/0!</v>
      </c>
      <c r="BF57" s="292" t="e">
        <f>-MIN(BE57:$BE$501)-SUM(BF$12:$BF56)</f>
        <v>#DIV/0!</v>
      </c>
      <c r="BG57" s="235" t="e">
        <f t="shared" si="47"/>
        <v>#DIV/0!</v>
      </c>
    </row>
    <row r="58" spans="2:59">
      <c r="B58" s="246">
        <v>45</v>
      </c>
      <c r="C58" s="241">
        <f t="shared" si="43"/>
        <v>44048</v>
      </c>
      <c r="D58" s="229">
        <f t="shared" si="48"/>
        <v>8</v>
      </c>
      <c r="E58" s="230" t="str">
        <f t="shared" si="49"/>
        <v>Pgto. Financ.</v>
      </c>
      <c r="F58" s="231">
        <f t="shared" si="50"/>
        <v>0</v>
      </c>
      <c r="G58" s="231">
        <f t="shared" si="51"/>
        <v>0</v>
      </c>
      <c r="H58" s="231">
        <f t="shared" si="52"/>
        <v>0</v>
      </c>
      <c r="I58" s="268">
        <f t="shared" si="5"/>
        <v>0</v>
      </c>
      <c r="J58" s="269">
        <f t="shared" si="53"/>
        <v>0</v>
      </c>
      <c r="K58" s="269">
        <f t="shared" si="54"/>
        <v>0</v>
      </c>
      <c r="L58" s="269">
        <f t="shared" si="7"/>
        <v>0</v>
      </c>
      <c r="M58" s="269">
        <f t="shared" si="8"/>
        <v>0</v>
      </c>
      <c r="N58" s="233">
        <f>VLOOKUP(B58,Dados!$L$86:$P$90,5)</f>
        <v>0</v>
      </c>
      <c r="O58" s="270">
        <f t="shared" si="55"/>
        <v>0.99999999999999989</v>
      </c>
      <c r="P58" s="269">
        <f t="shared" si="56"/>
        <v>0</v>
      </c>
      <c r="Q58" s="269" t="e">
        <f t="shared" si="57"/>
        <v>#DIV/0!</v>
      </c>
      <c r="R58" s="269">
        <f t="shared" si="58"/>
        <v>0</v>
      </c>
      <c r="S58" s="269" t="e">
        <f t="shared" si="59"/>
        <v>#DIV/0!</v>
      </c>
      <c r="T58" s="269" t="e">
        <f t="shared" si="38"/>
        <v>#DIV/0!</v>
      </c>
      <c r="U58" s="234">
        <f t="shared" si="60"/>
        <v>0</v>
      </c>
      <c r="V58" s="232" t="e">
        <f t="shared" si="61"/>
        <v>#DIV/0!</v>
      </c>
      <c r="W58" s="269" t="e">
        <f t="shared" si="62"/>
        <v>#DIV/0!</v>
      </c>
      <c r="X58" s="235">
        <f t="shared" si="14"/>
        <v>0</v>
      </c>
      <c r="Y58" s="236">
        <f t="shared" si="63"/>
        <v>5</v>
      </c>
      <c r="Z58" s="236" t="e">
        <f t="shared" si="64"/>
        <v>#DIV/0!</v>
      </c>
      <c r="AA58" s="236">
        <f t="shared" si="65"/>
        <v>3</v>
      </c>
      <c r="AB58" s="236" t="e">
        <f t="shared" si="66"/>
        <v>#DIV/0!</v>
      </c>
      <c r="AC58" s="235">
        <f t="shared" si="67"/>
        <v>0</v>
      </c>
      <c r="AD58" s="235">
        <f t="shared" si="68"/>
        <v>0</v>
      </c>
      <c r="AE58" s="279">
        <f t="shared" si="69"/>
        <v>0</v>
      </c>
      <c r="AF58" s="232">
        <f t="shared" si="70"/>
        <v>0</v>
      </c>
      <c r="AG58" s="235">
        <f t="shared" si="71"/>
        <v>0</v>
      </c>
      <c r="AH58" s="269">
        <f t="shared" si="72"/>
        <v>0</v>
      </c>
      <c r="AI58" s="232">
        <f t="shared" si="73"/>
        <v>0</v>
      </c>
      <c r="AJ58" s="235">
        <f t="shared" si="74"/>
        <v>0</v>
      </c>
      <c r="AK58" s="269">
        <f t="shared" si="75"/>
        <v>0</v>
      </c>
      <c r="AL58" s="269">
        <f t="shared" si="27"/>
        <v>0</v>
      </c>
      <c r="AM58" s="281" t="e">
        <f>IF(B58&gt;=mpfo,pos*vvm*Dados!$E$122*(ntudv-SUM(U59:$U$301))-SUM($AM$13:AM57),0)</f>
        <v>#DIV/0!</v>
      </c>
      <c r="AN58" s="269" t="e">
        <f t="shared" si="76"/>
        <v>#DIV/0!</v>
      </c>
      <c r="AO58" s="232" t="e">
        <f t="shared" si="77"/>
        <v>#DIV/0!</v>
      </c>
      <c r="AP58" s="242" t="e">
        <f t="shared" si="78"/>
        <v>#DIV/0!</v>
      </c>
      <c r="AQ58" s="235" t="e">
        <f>IF(AP58+SUM($AQ$12:AQ57)&gt;=0,0,-AP58-SUM($AQ$12:AQ57))</f>
        <v>#DIV/0!</v>
      </c>
      <c r="AR58" s="235">
        <f>IF(SUM($N$13:N57)&gt;=pmo,IF(SUM(N57:$N$501)&gt;(1-pmo),B58,0),0)</f>
        <v>0</v>
      </c>
      <c r="AS58" s="235" t="e">
        <f>IF((SUM($U$13:$U57)/ntudv)&gt;=pmv,IF((SUM($U57:$U$501)/ntudv)&gt;(1-pmv),B58,0),0)</f>
        <v>#DIV/0!</v>
      </c>
      <c r="AT58" s="237" t="e">
        <f>IF(MAX(mmo,mmv)=mmo,IF(B58=AR58,(SUM(N$13:$N57)-pmo)/((1-VLOOKUP(MAX(mmo,mmv)-1,$B$13:$O$501,14))+(VLOOKUP(MAX(mmo,mmv)-1,$B$13:$O$501,14)-pmo)),N57/((1-VLOOKUP(MAX(mmo,mmv)-1,$B$13:$O$501,14)+(VLOOKUP(MAX(mmo,mmv)-1,$B$13:$O$501,14)-pmo)))),N57/(1-VLOOKUP(MAX(mmo,mmv)-2,$B$13:$O$501,14)))</f>
        <v>#DIV/0!</v>
      </c>
      <c r="AU58" s="101" t="e">
        <f t="shared" si="29"/>
        <v>#DIV/0!</v>
      </c>
      <c r="AV58" s="287" t="e">
        <f t="shared" si="30"/>
        <v>#DIV/0!</v>
      </c>
      <c r="AW58" s="235" t="e">
        <f t="shared" si="79"/>
        <v>#DIV/0!</v>
      </c>
      <c r="AX58" s="281" t="e">
        <f>IF(B58&gt;mpfo,0,IF(B58=mpfo,(vld-teo*(1+tcfo-incc)^(MAX(mmo,mmv)-mbfo))*-1,IF(SUM($N$13:N57)&gt;=pmo,IF(($V57/ntudv)&gt;=pmv,IF(B58=MAX(mmo,mmv),-teo*(1+tcfo-incc)^(B58-mbfo),0),0),0)))</f>
        <v>#DIV/0!</v>
      </c>
      <c r="AY58" s="292" t="e">
        <f t="shared" si="32"/>
        <v>#DIV/0!</v>
      </c>
      <c r="AZ58" s="235" t="e">
        <f t="shared" si="80"/>
        <v>#DIV/0!</v>
      </c>
      <c r="BA58" s="269" t="e">
        <f t="shared" si="81"/>
        <v>#DIV/0!</v>
      </c>
      <c r="BB58" s="292" t="e">
        <f t="shared" si="82"/>
        <v>#DIV/0!</v>
      </c>
      <c r="BC58" s="238" t="e">
        <f>IF(SUM($BC$13:BC57)&gt;0,0,IF(BB58&gt;0,B58,0))</f>
        <v>#DIV/0!</v>
      </c>
      <c r="BD58" s="292" t="e">
        <f>IF(BB58+SUM($BD$12:BD57)&gt;=0,0,-BB58-SUM($BD$12:BD57))</f>
        <v>#DIV/0!</v>
      </c>
      <c r="BE58" s="235" t="e">
        <f>BB58+SUM($BD$12:BD58)</f>
        <v>#DIV/0!</v>
      </c>
      <c r="BF58" s="292" t="e">
        <f>-MIN(BE58:$BE$501)-SUM(BF$12:$BF57)</f>
        <v>#DIV/0!</v>
      </c>
      <c r="BG58" s="235" t="e">
        <f t="shared" si="47"/>
        <v>#DIV/0!</v>
      </c>
    </row>
    <row r="59" spans="2:59">
      <c r="B59" s="120">
        <v>46</v>
      </c>
      <c r="C59" s="241">
        <f t="shared" si="43"/>
        <v>44079</v>
      </c>
      <c r="D59" s="229">
        <f t="shared" si="48"/>
        <v>9</v>
      </c>
      <c r="E59" s="230" t="str">
        <f t="shared" si="49"/>
        <v>-</v>
      </c>
      <c r="F59" s="231">
        <f t="shared" si="50"/>
        <v>0</v>
      </c>
      <c r="G59" s="231">
        <f t="shared" si="51"/>
        <v>0</v>
      </c>
      <c r="H59" s="231">
        <f t="shared" si="52"/>
        <v>0</v>
      </c>
      <c r="I59" s="268">
        <f t="shared" si="5"/>
        <v>0</v>
      </c>
      <c r="J59" s="269">
        <f t="shared" si="53"/>
        <v>0</v>
      </c>
      <c r="K59" s="269">
        <f t="shared" si="54"/>
        <v>0</v>
      </c>
      <c r="L59" s="269">
        <f t="shared" si="7"/>
        <v>0</v>
      </c>
      <c r="M59" s="269">
        <f t="shared" si="8"/>
        <v>0</v>
      </c>
      <c r="N59" s="233">
        <f>VLOOKUP(B59,Dados!$L$86:$P$90,5)</f>
        <v>0</v>
      </c>
      <c r="O59" s="270">
        <f t="shared" si="55"/>
        <v>0.99999999999999989</v>
      </c>
      <c r="P59" s="269">
        <f t="shared" si="56"/>
        <v>0</v>
      </c>
      <c r="Q59" s="269" t="e">
        <f t="shared" si="57"/>
        <v>#DIV/0!</v>
      </c>
      <c r="R59" s="269">
        <f t="shared" si="58"/>
        <v>0</v>
      </c>
      <c r="S59" s="269" t="e">
        <f t="shared" si="59"/>
        <v>#DIV/0!</v>
      </c>
      <c r="T59" s="269" t="e">
        <f t="shared" si="38"/>
        <v>#DIV/0!</v>
      </c>
      <c r="U59" s="234">
        <f t="shared" si="60"/>
        <v>0</v>
      </c>
      <c r="V59" s="232" t="e">
        <f t="shared" si="61"/>
        <v>#DIV/0!</v>
      </c>
      <c r="W59" s="269" t="e">
        <f t="shared" si="62"/>
        <v>#DIV/0!</v>
      </c>
      <c r="X59" s="235">
        <f t="shared" si="14"/>
        <v>0</v>
      </c>
      <c r="Y59" s="236">
        <f t="shared" si="63"/>
        <v>5</v>
      </c>
      <c r="Z59" s="236" t="e">
        <f t="shared" si="64"/>
        <v>#DIV/0!</v>
      </c>
      <c r="AA59" s="236">
        <f t="shared" si="65"/>
        <v>3</v>
      </c>
      <c r="AB59" s="236" t="e">
        <f t="shared" si="66"/>
        <v>#DIV/0!</v>
      </c>
      <c r="AC59" s="235">
        <f t="shared" si="67"/>
        <v>0</v>
      </c>
      <c r="AD59" s="235">
        <f t="shared" si="68"/>
        <v>0</v>
      </c>
      <c r="AE59" s="279">
        <f t="shared" si="69"/>
        <v>0</v>
      </c>
      <c r="AF59" s="232">
        <f t="shared" si="70"/>
        <v>0</v>
      </c>
      <c r="AG59" s="235">
        <f t="shared" si="71"/>
        <v>0</v>
      </c>
      <c r="AH59" s="269">
        <f t="shared" si="72"/>
        <v>0</v>
      </c>
      <c r="AI59" s="232">
        <f t="shared" si="73"/>
        <v>0</v>
      </c>
      <c r="AJ59" s="235">
        <f t="shared" si="74"/>
        <v>0</v>
      </c>
      <c r="AK59" s="269">
        <f t="shared" si="75"/>
        <v>0</v>
      </c>
      <c r="AL59" s="269">
        <f t="shared" si="27"/>
        <v>0</v>
      </c>
      <c r="AM59" s="281" t="e">
        <f>IF(B59&gt;=mpfo,pos*vvm*Dados!$E$122*(ntudv-SUM(U60:$U$301))-SUM($AM$13:AM58),0)</f>
        <v>#DIV/0!</v>
      </c>
      <c r="AN59" s="269" t="e">
        <f t="shared" si="76"/>
        <v>#DIV/0!</v>
      </c>
      <c r="AO59" s="232" t="e">
        <f t="shared" si="77"/>
        <v>#DIV/0!</v>
      </c>
      <c r="AP59" s="242" t="e">
        <f t="shared" si="78"/>
        <v>#DIV/0!</v>
      </c>
      <c r="AQ59" s="235" t="e">
        <f>IF(AP59+SUM($AQ$12:AQ58)&gt;=0,0,-AP59-SUM($AQ$12:AQ58))</f>
        <v>#DIV/0!</v>
      </c>
      <c r="AR59" s="235">
        <f>IF(SUM($N$13:N58)&gt;=pmo,IF(SUM(N58:$N$501)&gt;(1-pmo),B59,0),0)</f>
        <v>0</v>
      </c>
      <c r="AS59" s="235" t="e">
        <f>IF((SUM($U$13:$U58)/ntudv)&gt;=pmv,IF((SUM($U58:$U$501)/ntudv)&gt;(1-pmv),B59,0),0)</f>
        <v>#DIV/0!</v>
      </c>
      <c r="AT59" s="237" t="e">
        <f>IF(MAX(mmo,mmv)=mmo,IF(B59=AR59,(SUM(N$13:$N58)-pmo)/((1-VLOOKUP(MAX(mmo,mmv)-1,$B$13:$O$501,14))+(VLOOKUP(MAX(mmo,mmv)-1,$B$13:$O$501,14)-pmo)),N58/((1-VLOOKUP(MAX(mmo,mmv)-1,$B$13:$O$501,14)+(VLOOKUP(MAX(mmo,mmv)-1,$B$13:$O$501,14)-pmo)))),N58/(1-VLOOKUP(MAX(mmo,mmv)-2,$B$13:$O$501,14)))</f>
        <v>#DIV/0!</v>
      </c>
      <c r="AU59" s="101" t="e">
        <f t="shared" si="29"/>
        <v>#DIV/0!</v>
      </c>
      <c r="AV59" s="287" t="e">
        <f t="shared" si="30"/>
        <v>#DIV/0!</v>
      </c>
      <c r="AW59" s="235" t="e">
        <f t="shared" si="79"/>
        <v>#DIV/0!</v>
      </c>
      <c r="AX59" s="281">
        <f>IF(B59&gt;mpfo,0,IF(B59=mpfo,(vld-teo*(1+tcfo-incc)^(MAX(mmo,mmv)-mbfo))*-1,IF(SUM($N$13:N58)&gt;=pmo,IF(($V58/ntudv)&gt;=pmv,IF(B59=MAX(mmo,mmv),-teo*(1+tcfo-incc)^(B59-mbfo),0),0),0)))</f>
        <v>0</v>
      </c>
      <c r="AY59" s="292" t="e">
        <f t="shared" si="32"/>
        <v>#DIV/0!</v>
      </c>
      <c r="AZ59" s="235" t="e">
        <f t="shared" si="80"/>
        <v>#DIV/0!</v>
      </c>
      <c r="BA59" s="269" t="e">
        <f t="shared" si="81"/>
        <v>#DIV/0!</v>
      </c>
      <c r="BB59" s="292" t="e">
        <f t="shared" si="82"/>
        <v>#DIV/0!</v>
      </c>
      <c r="BC59" s="238" t="e">
        <f>IF(SUM($BC$13:BC58)&gt;0,0,IF(BB59&gt;0,B59,0))</f>
        <v>#DIV/0!</v>
      </c>
      <c r="BD59" s="292" t="e">
        <f>IF(BB59+SUM($BD$12:BD58)&gt;=0,0,-BB59-SUM($BD$12:BD58))</f>
        <v>#DIV/0!</v>
      </c>
      <c r="BE59" s="235" t="e">
        <f>BB59+SUM($BD$12:BD59)</f>
        <v>#DIV/0!</v>
      </c>
      <c r="BF59" s="292" t="e">
        <f>-MIN(BE59:$BE$501)-SUM(BF$12:$BF58)</f>
        <v>#DIV/0!</v>
      </c>
      <c r="BG59" s="235" t="e">
        <f t="shared" si="47"/>
        <v>#DIV/0!</v>
      </c>
    </row>
    <row r="60" spans="2:59">
      <c r="B60" s="246">
        <v>47</v>
      </c>
      <c r="C60" s="241">
        <f t="shared" si="43"/>
        <v>44109</v>
      </c>
      <c r="D60" s="229">
        <f t="shared" si="48"/>
        <v>10</v>
      </c>
      <c r="E60" s="230" t="str">
        <f t="shared" si="49"/>
        <v>-</v>
      </c>
      <c r="F60" s="231">
        <f t="shared" si="50"/>
        <v>0</v>
      </c>
      <c r="G60" s="231">
        <f t="shared" si="51"/>
        <v>0</v>
      </c>
      <c r="H60" s="231">
        <f t="shared" si="52"/>
        <v>0</v>
      </c>
      <c r="I60" s="268">
        <f t="shared" si="5"/>
        <v>0</v>
      </c>
      <c r="J60" s="269">
        <f t="shared" si="53"/>
        <v>0</v>
      </c>
      <c r="K60" s="269">
        <f t="shared" si="54"/>
        <v>0</v>
      </c>
      <c r="L60" s="269">
        <f t="shared" si="7"/>
        <v>0</v>
      </c>
      <c r="M60" s="269">
        <f t="shared" si="8"/>
        <v>0</v>
      </c>
      <c r="N60" s="233">
        <f>VLOOKUP(B60,Dados!$L$86:$P$90,5)</f>
        <v>0</v>
      </c>
      <c r="O60" s="270">
        <f t="shared" si="55"/>
        <v>0.99999999999999989</v>
      </c>
      <c r="P60" s="269">
        <f t="shared" si="56"/>
        <v>0</v>
      </c>
      <c r="Q60" s="269" t="e">
        <f>AN60*pimp*-1</f>
        <v>#DIV/0!</v>
      </c>
      <c r="R60" s="269">
        <f t="shared" si="58"/>
        <v>0</v>
      </c>
      <c r="S60" s="269" t="e">
        <f t="shared" si="59"/>
        <v>#DIV/0!</v>
      </c>
      <c r="T60" s="269" t="e">
        <f t="shared" si="38"/>
        <v>#DIV/0!</v>
      </c>
      <c r="U60" s="234">
        <f t="shared" si="60"/>
        <v>0</v>
      </c>
      <c r="V60" s="232" t="e">
        <f t="shared" si="61"/>
        <v>#DIV/0!</v>
      </c>
      <c r="W60" s="269" t="e">
        <f t="shared" si="62"/>
        <v>#DIV/0!</v>
      </c>
      <c r="X60" s="235">
        <f t="shared" si="14"/>
        <v>0</v>
      </c>
      <c r="Y60" s="236">
        <f t="shared" si="63"/>
        <v>5</v>
      </c>
      <c r="Z60" s="236" t="e">
        <f t="shared" si="64"/>
        <v>#DIV/0!</v>
      </c>
      <c r="AA60" s="236">
        <f t="shared" si="65"/>
        <v>3</v>
      </c>
      <c r="AB60" s="236" t="e">
        <f t="shared" si="66"/>
        <v>#DIV/0!</v>
      </c>
      <c r="AC60" s="235">
        <f t="shared" si="67"/>
        <v>0</v>
      </c>
      <c r="AD60" s="235">
        <f t="shared" si="68"/>
        <v>0</v>
      </c>
      <c r="AE60" s="279">
        <f t="shared" si="69"/>
        <v>0</v>
      </c>
      <c r="AF60" s="232">
        <f t="shared" si="70"/>
        <v>0</v>
      </c>
      <c r="AG60" s="235">
        <f t="shared" si="71"/>
        <v>0</v>
      </c>
      <c r="AH60" s="269">
        <f t="shared" si="72"/>
        <v>0</v>
      </c>
      <c r="AI60" s="232">
        <f t="shared" si="73"/>
        <v>0</v>
      </c>
      <c r="AJ60" s="235">
        <f t="shared" si="74"/>
        <v>0</v>
      </c>
      <c r="AK60" s="269">
        <f t="shared" si="75"/>
        <v>0</v>
      </c>
      <c r="AL60" s="269">
        <f t="shared" si="27"/>
        <v>0</v>
      </c>
      <c r="AM60" s="281" t="e">
        <f>IF(B60&gt;=mpfo,pos*vvm*Dados!$E$122*(ntudv-SUM(U61:$U$301))-SUM($AM$13:AM59),0)</f>
        <v>#DIV/0!</v>
      </c>
      <c r="AN60" s="269" t="e">
        <f t="shared" si="76"/>
        <v>#DIV/0!</v>
      </c>
      <c r="AO60" s="232" t="e">
        <f t="shared" si="77"/>
        <v>#DIV/0!</v>
      </c>
      <c r="AP60" s="242" t="e">
        <f t="shared" si="78"/>
        <v>#DIV/0!</v>
      </c>
      <c r="AQ60" s="235" t="e">
        <f>IF(AP60+SUM($AQ$12:AQ59)&gt;=0,0,-AP60-SUM($AQ$12:AQ59))</f>
        <v>#DIV/0!</v>
      </c>
      <c r="AR60" s="235">
        <f>IF(SUM($N$13:N59)&gt;=pmo,IF(SUM(N59:$N$501)&gt;(1-pmo),B60,0),0)</f>
        <v>0</v>
      </c>
      <c r="AS60" s="235" t="e">
        <f>IF((SUM($U$13:$U59)/ntudv)&gt;=pmv,IF((SUM($U59:$U$501)/ntudv)&gt;(1-pmv),B60,0),0)</f>
        <v>#DIV/0!</v>
      </c>
      <c r="AT60" s="237" t="e">
        <f>IF(MAX(mmo,mmv)=mmo,IF(B60=AR60,(SUM(N$13:$N59)-pmo)/((1-VLOOKUP(MAX(mmo,mmv)-1,$B$13:$O$501,14))+(VLOOKUP(MAX(mmo,mmv)-1,$B$13:$O$501,14)-pmo)),N59/((1-VLOOKUP(MAX(mmo,mmv)-1,$B$13:$O$501,14)+(VLOOKUP(MAX(mmo,mmv)-1,$B$13:$O$501,14)-pmo)))),N59/(1-VLOOKUP(MAX(mmo,mmv)-2,$B$13:$O$501,14)))</f>
        <v>#DIV/0!</v>
      </c>
      <c r="AU60" s="101" t="e">
        <f t="shared" si="29"/>
        <v>#DIV/0!</v>
      </c>
      <c r="AV60" s="287" t="e">
        <f t="shared" si="30"/>
        <v>#DIV/0!</v>
      </c>
      <c r="AW60" s="235" t="e">
        <f t="shared" si="79"/>
        <v>#DIV/0!</v>
      </c>
      <c r="AX60" s="281">
        <f>IF(B60&gt;mpfo,0,IF(B60=mpfo,(vld-teo*(1+tcfo-incc)^(MAX(mmo,mmv)-mbfo))*-1,IF(SUM($N$13:N59)&gt;=pmo,IF(($V59/ntudv)&gt;=pmv,IF(B60=MAX(mmo,mmv),-teo*(1+tcfo-incc)^(B60-mbfo),0),0),0)))</f>
        <v>0</v>
      </c>
      <c r="AY60" s="292" t="e">
        <f>IF(IF(cjfo="M",(AZ59)*jfo,IF(B60=mpfo,AW60+AX60,0))*-1&gt;0,0,IF(cjfo="M",(AZ59)*jfo,IF(B60=mpfo,AW60+AX60,0))*-1)</f>
        <v>#DIV/0!</v>
      </c>
      <c r="AZ60" s="235" t="e">
        <f>AW60+AX60+AY60</f>
        <v>#DIV/0!</v>
      </c>
      <c r="BA60" s="269" t="e">
        <f t="shared" si="81"/>
        <v>#DIV/0!</v>
      </c>
      <c r="BB60" s="292" t="e">
        <f t="shared" si="82"/>
        <v>#DIV/0!</v>
      </c>
      <c r="BC60" s="238" t="e">
        <f>IF(SUM($BC$13:BC59)&gt;0,0,IF(BB60&gt;0,B60,0))</f>
        <v>#DIV/0!</v>
      </c>
      <c r="BD60" s="292" t="e">
        <f>IF(BB60+SUM($BD$12:BD59)&gt;=0,0,-BB60-SUM($BD$12:BD59))</f>
        <v>#DIV/0!</v>
      </c>
      <c r="BE60" s="235" t="e">
        <f>BB60+SUM($BD$12:BD60)</f>
        <v>#DIV/0!</v>
      </c>
      <c r="BF60" s="292" t="e">
        <f>-MIN(BE60:$BE$501)-SUM(BF$12:$BF59)</f>
        <v>#DIV/0!</v>
      </c>
      <c r="BG60" s="235" t="e">
        <f t="shared" si="47"/>
        <v>#DIV/0!</v>
      </c>
    </row>
    <row r="61" spans="2:59">
      <c r="B61" s="120">
        <v>48</v>
      </c>
      <c r="C61" s="241">
        <f t="shared" si="43"/>
        <v>44140</v>
      </c>
      <c r="D61" s="229">
        <f t="shared" si="48"/>
        <v>11</v>
      </c>
      <c r="E61" s="230" t="str">
        <f t="shared" si="49"/>
        <v>-</v>
      </c>
      <c r="F61" s="231">
        <f t="shared" si="50"/>
        <v>0</v>
      </c>
      <c r="G61" s="231">
        <f t="shared" si="51"/>
        <v>0</v>
      </c>
      <c r="H61" s="231">
        <f t="shared" si="52"/>
        <v>0</v>
      </c>
      <c r="I61" s="268">
        <f t="shared" si="5"/>
        <v>0</v>
      </c>
      <c r="J61" s="269">
        <f t="shared" si="53"/>
        <v>0</v>
      </c>
      <c r="K61" s="269">
        <f t="shared" si="54"/>
        <v>0</v>
      </c>
      <c r="L61" s="269">
        <f t="shared" si="7"/>
        <v>0</v>
      </c>
      <c r="M61" s="269">
        <f t="shared" si="8"/>
        <v>0</v>
      </c>
      <c r="N61" s="233">
        <f>VLOOKUP(B61,Dados!$L$86:$P$90,5)</f>
        <v>0</v>
      </c>
      <c r="O61" s="270">
        <f t="shared" si="55"/>
        <v>0.99999999999999989</v>
      </c>
      <c r="P61" s="269">
        <f t="shared" si="56"/>
        <v>0</v>
      </c>
      <c r="Q61" s="269" t="e">
        <f t="shared" si="57"/>
        <v>#DIV/0!</v>
      </c>
      <c r="R61" s="269">
        <f t="shared" si="58"/>
        <v>0</v>
      </c>
      <c r="S61" s="269" t="e">
        <f t="shared" si="59"/>
        <v>#DIV/0!</v>
      </c>
      <c r="T61" s="269" t="e">
        <f t="shared" si="38"/>
        <v>#DIV/0!</v>
      </c>
      <c r="U61" s="234">
        <f t="shared" si="60"/>
        <v>0</v>
      </c>
      <c r="V61" s="232" t="e">
        <f t="shared" si="61"/>
        <v>#DIV/0!</v>
      </c>
      <c r="W61" s="269" t="e">
        <f t="shared" si="62"/>
        <v>#DIV/0!</v>
      </c>
      <c r="X61" s="235">
        <f t="shared" si="14"/>
        <v>0</v>
      </c>
      <c r="Y61" s="236">
        <f t="shared" si="63"/>
        <v>5</v>
      </c>
      <c r="Z61" s="236" t="e">
        <f t="shared" si="64"/>
        <v>#DIV/0!</v>
      </c>
      <c r="AA61" s="236">
        <f t="shared" si="65"/>
        <v>3</v>
      </c>
      <c r="AB61" s="236" t="e">
        <f t="shared" si="66"/>
        <v>#DIV/0!</v>
      </c>
      <c r="AC61" s="235">
        <f t="shared" si="67"/>
        <v>0</v>
      </c>
      <c r="AD61" s="235">
        <f t="shared" si="68"/>
        <v>0</v>
      </c>
      <c r="AE61" s="279">
        <f t="shared" si="69"/>
        <v>0</v>
      </c>
      <c r="AF61" s="232">
        <f t="shared" si="70"/>
        <v>0</v>
      </c>
      <c r="AG61" s="235">
        <f t="shared" si="71"/>
        <v>0</v>
      </c>
      <c r="AH61" s="269">
        <f t="shared" si="72"/>
        <v>0</v>
      </c>
      <c r="AI61" s="232">
        <f t="shared" si="73"/>
        <v>0</v>
      </c>
      <c r="AJ61" s="235">
        <f t="shared" si="74"/>
        <v>0</v>
      </c>
      <c r="AK61" s="269">
        <f t="shared" si="75"/>
        <v>0</v>
      </c>
      <c r="AL61" s="269">
        <f t="shared" si="27"/>
        <v>0</v>
      </c>
      <c r="AM61" s="281" t="e">
        <f>IF(B61&gt;=mpfo,pos*vvm*Dados!$E$122*(ntudv-SUM(U62:$U$301))-SUM($AM$13:AM60),0)</f>
        <v>#DIV/0!</v>
      </c>
      <c r="AN61" s="269" t="e">
        <f t="shared" si="76"/>
        <v>#DIV/0!</v>
      </c>
      <c r="AO61" s="232" t="e">
        <f t="shared" si="77"/>
        <v>#DIV/0!</v>
      </c>
      <c r="AP61" s="242" t="e">
        <f t="shared" si="78"/>
        <v>#DIV/0!</v>
      </c>
      <c r="AQ61" s="235" t="e">
        <f>IF(AP61+SUM($AQ$12:AQ60)&gt;=0,0,-AP61-SUM($AQ$12:AQ60))</f>
        <v>#DIV/0!</v>
      </c>
      <c r="AR61" s="235">
        <f>IF(SUM($N$13:N60)&gt;=pmo,IF(SUM(N60:$N$501)&gt;(1-pmo),B61,0),0)</f>
        <v>0</v>
      </c>
      <c r="AS61" s="235" t="e">
        <f>IF((SUM($U$13:$U60)/ntudv)&gt;=pmv,IF((SUM($U60:$U$501)/ntudv)&gt;(1-pmv),B61,0),0)</f>
        <v>#DIV/0!</v>
      </c>
      <c r="AT61" s="237" t="e">
        <f>IF(MAX(mmo,mmv)=mmo,IF(B61=AR61,(SUM(N$13:$N60)-pmo)/((1-VLOOKUP(MAX(mmo,mmv)-1,$B$13:$O$501,14))+(VLOOKUP(MAX(mmo,mmv)-1,$B$13:$O$501,14)-pmo)),N60/((1-VLOOKUP(MAX(mmo,mmv)-1,$B$13:$O$501,14)+(VLOOKUP(MAX(mmo,mmv)-1,$B$13:$O$501,14)-pmo)))),N60/(1-VLOOKUP(MAX(mmo,mmv)-2,$B$13:$O$501,14)))</f>
        <v>#DIV/0!</v>
      </c>
      <c r="AU61" s="101" t="e">
        <f t="shared" si="29"/>
        <v>#DIV/0!</v>
      </c>
      <c r="AV61" s="287" t="e">
        <f t="shared" si="30"/>
        <v>#DIV/0!</v>
      </c>
      <c r="AW61" s="235" t="e">
        <f t="shared" si="79"/>
        <v>#DIV/0!</v>
      </c>
      <c r="AX61" s="281">
        <f>IF(B61&gt;mpfo,0,IF(B61=mpfo,(vld-teo*(1+tcfo-incc)^(MAX(mmo,mmv)-mbfo))*-1,IF(SUM($N$13:N60)&gt;=pmo,IF(($V60/ntudv)&gt;=pmv,IF(B61=MAX(mmo,mmv),-teo*(1+tcfo-incc)^(B61-mbfo),0),0),0)))</f>
        <v>0</v>
      </c>
      <c r="AY61" s="292" t="e">
        <f t="shared" si="32"/>
        <v>#DIV/0!</v>
      </c>
      <c r="AZ61" s="235" t="e">
        <f t="shared" si="80"/>
        <v>#DIV/0!</v>
      </c>
      <c r="BA61" s="269" t="e">
        <f t="shared" si="81"/>
        <v>#DIV/0!</v>
      </c>
      <c r="BB61" s="292" t="e">
        <f t="shared" si="82"/>
        <v>#DIV/0!</v>
      </c>
      <c r="BC61" s="238" t="e">
        <f>IF(SUM($BC$13:BC60)&gt;0,0,IF(BB61&gt;0,B61,0))</f>
        <v>#DIV/0!</v>
      </c>
      <c r="BD61" s="292" t="e">
        <f>IF(BB61+SUM($BD$12:BD60)&gt;=0,0,-BB61-SUM($BD$12:BD60))</f>
        <v>#DIV/0!</v>
      </c>
      <c r="BE61" s="235" t="e">
        <f>BB61+SUM($BD$12:BD61)</f>
        <v>#DIV/0!</v>
      </c>
      <c r="BF61" s="292" t="e">
        <f>-MIN(BE61:$BE$501)-SUM(BF$12:$BF60)</f>
        <v>#DIV/0!</v>
      </c>
      <c r="BG61" s="235" t="e">
        <f t="shared" si="47"/>
        <v>#DIV/0!</v>
      </c>
    </row>
    <row r="62" spans="2:59">
      <c r="B62" s="246">
        <v>49</v>
      </c>
      <c r="C62" s="241">
        <f t="shared" si="43"/>
        <v>44170</v>
      </c>
      <c r="D62" s="229">
        <f t="shared" si="48"/>
        <v>12</v>
      </c>
      <c r="E62" s="230" t="str">
        <f t="shared" si="49"/>
        <v>-</v>
      </c>
      <c r="F62" s="231">
        <f t="shared" si="50"/>
        <v>0</v>
      </c>
      <c r="G62" s="231">
        <f t="shared" si="51"/>
        <v>0</v>
      </c>
      <c r="H62" s="231">
        <f t="shared" si="52"/>
        <v>0</v>
      </c>
      <c r="I62" s="268">
        <f t="shared" si="5"/>
        <v>0</v>
      </c>
      <c r="J62" s="269">
        <f t="shared" si="53"/>
        <v>0</v>
      </c>
      <c r="K62" s="269">
        <f t="shared" si="54"/>
        <v>0</v>
      </c>
      <c r="L62" s="269">
        <f t="shared" si="7"/>
        <v>0</v>
      </c>
      <c r="M62" s="269">
        <f t="shared" si="8"/>
        <v>0</v>
      </c>
      <c r="N62" s="233">
        <f>VLOOKUP(B62,Dados!$L$86:$P$90,5)</f>
        <v>0</v>
      </c>
      <c r="O62" s="270">
        <f t="shared" si="55"/>
        <v>0.99999999999999989</v>
      </c>
      <c r="P62" s="269">
        <f t="shared" si="56"/>
        <v>0</v>
      </c>
      <c r="Q62" s="269" t="e">
        <f t="shared" si="57"/>
        <v>#DIV/0!</v>
      </c>
      <c r="R62" s="269">
        <f t="shared" si="58"/>
        <v>0</v>
      </c>
      <c r="S62" s="269" t="e">
        <f t="shared" si="59"/>
        <v>#DIV/0!</v>
      </c>
      <c r="T62" s="269" t="e">
        <f t="shared" si="38"/>
        <v>#DIV/0!</v>
      </c>
      <c r="U62" s="234">
        <f t="shared" si="60"/>
        <v>0</v>
      </c>
      <c r="V62" s="232" t="e">
        <f t="shared" si="61"/>
        <v>#DIV/0!</v>
      </c>
      <c r="W62" s="269" t="e">
        <f t="shared" si="62"/>
        <v>#DIV/0!</v>
      </c>
      <c r="X62" s="235">
        <f t="shared" si="14"/>
        <v>0</v>
      </c>
      <c r="Y62" s="236">
        <f t="shared" si="63"/>
        <v>5</v>
      </c>
      <c r="Z62" s="236" t="e">
        <f t="shared" si="64"/>
        <v>#DIV/0!</v>
      </c>
      <c r="AA62" s="236">
        <f t="shared" si="65"/>
        <v>3</v>
      </c>
      <c r="AB62" s="236" t="e">
        <f t="shared" si="66"/>
        <v>#DIV/0!</v>
      </c>
      <c r="AC62" s="235">
        <f t="shared" si="67"/>
        <v>0</v>
      </c>
      <c r="AD62" s="235">
        <f t="shared" si="68"/>
        <v>0</v>
      </c>
      <c r="AE62" s="279">
        <f t="shared" si="69"/>
        <v>0</v>
      </c>
      <c r="AF62" s="232">
        <f t="shared" si="70"/>
        <v>1</v>
      </c>
      <c r="AG62" s="235">
        <f t="shared" si="71"/>
        <v>0</v>
      </c>
      <c r="AH62" s="269">
        <f t="shared" si="72"/>
        <v>0</v>
      </c>
      <c r="AI62" s="232">
        <f t="shared" si="73"/>
        <v>1</v>
      </c>
      <c r="AJ62" s="235">
        <f t="shared" si="74"/>
        <v>0</v>
      </c>
      <c r="AK62" s="269">
        <f t="shared" si="75"/>
        <v>0</v>
      </c>
      <c r="AL62" s="269">
        <f t="shared" si="27"/>
        <v>0</v>
      </c>
      <c r="AM62" s="281" t="e">
        <f>IF(B62&gt;=mpfo,pos*vvm*Dados!$E$122*(ntudv-SUM(U63:$U$301))-SUM($AM$13:AM61),0)</f>
        <v>#DIV/0!</v>
      </c>
      <c r="AN62" s="269" t="e">
        <f t="shared" si="76"/>
        <v>#DIV/0!</v>
      </c>
      <c r="AO62" s="232" t="e">
        <f t="shared" si="77"/>
        <v>#DIV/0!</v>
      </c>
      <c r="AP62" s="242" t="e">
        <f t="shared" si="78"/>
        <v>#DIV/0!</v>
      </c>
      <c r="AQ62" s="235" t="e">
        <f>IF(AP62+SUM($AQ$12:AQ61)&gt;=0,0,-AP62-SUM($AQ$12:AQ61))</f>
        <v>#DIV/0!</v>
      </c>
      <c r="AR62" s="235">
        <f>IF(SUM($N$13:N61)&gt;=pmo,IF(SUM(N61:$N$501)&gt;(1-pmo),B62,0),0)</f>
        <v>0</v>
      </c>
      <c r="AS62" s="235" t="e">
        <f>IF((SUM($U$13:$U61)/ntudv)&gt;=pmv,IF((SUM($U61:$U$501)/ntudv)&gt;(1-pmv),B62,0),0)</f>
        <v>#DIV/0!</v>
      </c>
      <c r="AT62" s="237" t="e">
        <f>IF(MAX(mmo,mmv)=mmo,IF(B62=AR62,(SUM(N$13:$N61)-pmo)/((1-VLOOKUP(MAX(mmo,mmv)-1,$B$13:$O$501,14))+(VLOOKUP(MAX(mmo,mmv)-1,$B$13:$O$501,14)-pmo)),N61/((1-VLOOKUP(MAX(mmo,mmv)-1,$B$13:$O$501,14)+(VLOOKUP(MAX(mmo,mmv)-1,$B$13:$O$501,14)-pmo)))),N61/(1-VLOOKUP(MAX(mmo,mmv)-2,$B$13:$O$501,14)))</f>
        <v>#DIV/0!</v>
      </c>
      <c r="AU62" s="101" t="e">
        <f t="shared" si="29"/>
        <v>#DIV/0!</v>
      </c>
      <c r="AV62" s="287" t="e">
        <f t="shared" si="30"/>
        <v>#DIV/0!</v>
      </c>
      <c r="AW62" s="235" t="e">
        <f t="shared" si="79"/>
        <v>#DIV/0!</v>
      </c>
      <c r="AX62" s="281">
        <f>IF(B62&gt;mpfo,0,IF(B62=mpfo,(vld-teo*(1+tcfo-incc)^(MAX(mmo,mmv)-mbfo))*-1,IF(SUM($N$13:N61)&gt;=pmo,IF(($V61/ntudv)&gt;=pmv,IF(B62=MAX(mmo,mmv),-teo*(1+tcfo-incc)^(B62-mbfo),0),0),0)))</f>
        <v>0</v>
      </c>
      <c r="AY62" s="292" t="e">
        <f t="shared" si="32"/>
        <v>#DIV/0!</v>
      </c>
      <c r="AZ62" s="235" t="e">
        <f t="shared" si="80"/>
        <v>#DIV/0!</v>
      </c>
      <c r="BA62" s="269" t="e">
        <f t="shared" si="81"/>
        <v>#DIV/0!</v>
      </c>
      <c r="BB62" s="292" t="e">
        <f t="shared" si="82"/>
        <v>#DIV/0!</v>
      </c>
      <c r="BC62" s="238" t="e">
        <f>IF(SUM($BC$13:BC61)&gt;0,0,IF(BB62&gt;0,B62,0))</f>
        <v>#DIV/0!</v>
      </c>
      <c r="BD62" s="292" t="e">
        <f>IF(BB62+SUM($BD$12:BD61)&gt;=0,0,-BB62-SUM($BD$12:BD61))</f>
        <v>#DIV/0!</v>
      </c>
      <c r="BE62" s="235" t="e">
        <f>BB62+SUM($BD$12:BD62)</f>
        <v>#DIV/0!</v>
      </c>
      <c r="BF62" s="292" t="e">
        <f>-MIN(BE62:$BE$501)-SUM(BF$12:$BF61)</f>
        <v>#DIV/0!</v>
      </c>
      <c r="BG62" s="235" t="e">
        <f t="shared" si="47"/>
        <v>#DIV/0!</v>
      </c>
    </row>
    <row r="63" spans="2:59">
      <c r="B63" s="120">
        <v>50</v>
      </c>
      <c r="C63" s="241">
        <f t="shared" si="43"/>
        <v>44201</v>
      </c>
      <c r="D63" s="229">
        <f t="shared" si="48"/>
        <v>1</v>
      </c>
      <c r="E63" s="230" t="str">
        <f t="shared" si="49"/>
        <v>-</v>
      </c>
      <c r="F63" s="231">
        <f t="shared" si="50"/>
        <v>0</v>
      </c>
      <c r="G63" s="231">
        <f t="shared" si="51"/>
        <v>0</v>
      </c>
      <c r="H63" s="231">
        <f t="shared" si="52"/>
        <v>0</v>
      </c>
      <c r="I63" s="268">
        <f t="shared" si="5"/>
        <v>0</v>
      </c>
      <c r="J63" s="269">
        <f t="shared" si="53"/>
        <v>0</v>
      </c>
      <c r="K63" s="269">
        <f t="shared" si="54"/>
        <v>0</v>
      </c>
      <c r="L63" s="269">
        <f t="shared" si="7"/>
        <v>0</v>
      </c>
      <c r="M63" s="269">
        <f t="shared" si="8"/>
        <v>0</v>
      </c>
      <c r="N63" s="233">
        <f>VLOOKUP(B63,Dados!$L$86:$P$90,5)</f>
        <v>0</v>
      </c>
      <c r="O63" s="270">
        <f t="shared" si="55"/>
        <v>0.99999999999999989</v>
      </c>
      <c r="P63" s="269">
        <f t="shared" si="56"/>
        <v>0</v>
      </c>
      <c r="Q63" s="269" t="e">
        <f t="shared" si="57"/>
        <v>#DIV/0!</v>
      </c>
      <c r="R63" s="269">
        <f t="shared" si="58"/>
        <v>0</v>
      </c>
      <c r="S63" s="269" t="e">
        <f t="shared" si="59"/>
        <v>#DIV/0!</v>
      </c>
      <c r="T63" s="269" t="e">
        <f t="shared" si="38"/>
        <v>#DIV/0!</v>
      </c>
      <c r="U63" s="234">
        <f t="shared" si="60"/>
        <v>0</v>
      </c>
      <c r="V63" s="232" t="e">
        <f t="shared" si="61"/>
        <v>#DIV/0!</v>
      </c>
      <c r="W63" s="269" t="e">
        <f t="shared" si="62"/>
        <v>#DIV/0!</v>
      </c>
      <c r="X63" s="235">
        <f t="shared" si="14"/>
        <v>0</v>
      </c>
      <c r="Y63" s="236">
        <f t="shared" si="63"/>
        <v>5</v>
      </c>
      <c r="Z63" s="236" t="e">
        <f t="shared" si="64"/>
        <v>#DIV/0!</v>
      </c>
      <c r="AA63" s="236">
        <f t="shared" si="65"/>
        <v>3</v>
      </c>
      <c r="AB63" s="236" t="e">
        <f t="shared" si="66"/>
        <v>#DIV/0!</v>
      </c>
      <c r="AC63" s="235">
        <f t="shared" si="67"/>
        <v>0</v>
      </c>
      <c r="AD63" s="235">
        <f t="shared" si="68"/>
        <v>0</v>
      </c>
      <c r="AE63" s="279">
        <f t="shared" si="69"/>
        <v>0</v>
      </c>
      <c r="AF63" s="232">
        <f t="shared" si="70"/>
        <v>0</v>
      </c>
      <c r="AG63" s="235">
        <f t="shared" si="71"/>
        <v>0</v>
      </c>
      <c r="AH63" s="269">
        <f t="shared" si="72"/>
        <v>0</v>
      </c>
      <c r="AI63" s="232">
        <f t="shared" si="73"/>
        <v>0</v>
      </c>
      <c r="AJ63" s="235">
        <f t="shared" si="74"/>
        <v>0</v>
      </c>
      <c r="AK63" s="269">
        <f t="shared" si="75"/>
        <v>0</v>
      </c>
      <c r="AL63" s="269">
        <f t="shared" si="27"/>
        <v>0</v>
      </c>
      <c r="AM63" s="281" t="e">
        <f>IF(B63&gt;=mpfo,pos*vvm*Dados!$E$122*(ntudv-SUM(U64:$U$301))-SUM($AM$13:AM62),0)</f>
        <v>#DIV/0!</v>
      </c>
      <c r="AN63" s="269" t="e">
        <f t="shared" si="76"/>
        <v>#DIV/0!</v>
      </c>
      <c r="AO63" s="232" t="e">
        <f t="shared" si="77"/>
        <v>#DIV/0!</v>
      </c>
      <c r="AP63" s="242" t="e">
        <f t="shared" si="78"/>
        <v>#DIV/0!</v>
      </c>
      <c r="AQ63" s="235" t="e">
        <f>IF(AP63+SUM($AQ$12:AQ62)&gt;=0,0,-AP63-SUM($AQ$12:AQ62))</f>
        <v>#DIV/0!</v>
      </c>
      <c r="AR63" s="235">
        <f>IF(SUM($N$13:N62)&gt;=pmo,IF(SUM(N62:$N$501)&gt;(1-pmo),B63,0),0)</f>
        <v>0</v>
      </c>
      <c r="AS63" s="235" t="e">
        <f>IF((SUM($U$13:$U62)/ntudv)&gt;=pmv,IF((SUM($U62:$U$501)/ntudv)&gt;(1-pmv),B63,0),0)</f>
        <v>#DIV/0!</v>
      </c>
      <c r="AT63" s="237" t="e">
        <f>IF(MAX(mmo,mmv)=mmo,IF(B63=AR63,(SUM(N$13:$N62)-pmo)/((1-VLOOKUP(MAX(mmo,mmv)-1,$B$13:$O$501,14))+(VLOOKUP(MAX(mmo,mmv)-1,$B$13:$O$501,14)-pmo)),N62/((1-VLOOKUP(MAX(mmo,mmv)-1,$B$13:$O$501,14)+(VLOOKUP(MAX(mmo,mmv)-1,$B$13:$O$501,14)-pmo)))),N62/(1-VLOOKUP(MAX(mmo,mmv)-2,$B$13:$O$501,14)))</f>
        <v>#DIV/0!</v>
      </c>
      <c r="AU63" s="101" t="e">
        <f t="shared" si="29"/>
        <v>#DIV/0!</v>
      </c>
      <c r="AV63" s="287" t="e">
        <f t="shared" si="30"/>
        <v>#DIV/0!</v>
      </c>
      <c r="AW63" s="235" t="e">
        <f t="shared" si="79"/>
        <v>#DIV/0!</v>
      </c>
      <c r="AX63" s="281">
        <f>IF(B63&gt;mpfo,0,IF(B63=mpfo,(vld-teo*(1+tcfo-incc)^(MAX(mmo,mmv)-mbfo))*-1,IF(SUM($N$13:N62)&gt;=pmo,IF(($V62/ntudv)&gt;=pmv,IF(B63=MAX(mmo,mmv),-teo*(1+tcfo-incc)^(B63-mbfo),0),0),0)))</f>
        <v>0</v>
      </c>
      <c r="AY63" s="292" t="e">
        <f t="shared" si="32"/>
        <v>#DIV/0!</v>
      </c>
      <c r="AZ63" s="235" t="e">
        <f t="shared" si="80"/>
        <v>#DIV/0!</v>
      </c>
      <c r="BA63" s="269" t="e">
        <f t="shared" si="81"/>
        <v>#DIV/0!</v>
      </c>
      <c r="BB63" s="292" t="e">
        <f t="shared" si="82"/>
        <v>#DIV/0!</v>
      </c>
      <c r="BC63" s="238" t="e">
        <f>IF(SUM($BC$13:BC62)&gt;0,0,IF(BB63&gt;0,B63,0))</f>
        <v>#DIV/0!</v>
      </c>
      <c r="BD63" s="292" t="e">
        <f>IF(BB63+SUM($BD$12:BD62)&gt;=0,0,-BB63-SUM($BD$12:BD62))</f>
        <v>#DIV/0!</v>
      </c>
      <c r="BE63" s="235" t="e">
        <f>BB63+SUM($BD$12:BD63)</f>
        <v>#DIV/0!</v>
      </c>
      <c r="BF63" s="292" t="e">
        <f>-MIN(BE63:$BE$501)-SUM(BF$12:$BF62)</f>
        <v>#DIV/0!</v>
      </c>
      <c r="BG63" s="235" t="e">
        <f t="shared" si="47"/>
        <v>#DIV/0!</v>
      </c>
    </row>
    <row r="64" spans="2:59">
      <c r="B64" s="246">
        <v>51</v>
      </c>
      <c r="C64" s="241">
        <f t="shared" si="43"/>
        <v>44232</v>
      </c>
      <c r="D64" s="229">
        <f t="shared" si="48"/>
        <v>2</v>
      </c>
      <c r="E64" s="230" t="str">
        <f t="shared" si="49"/>
        <v>-</v>
      </c>
      <c r="F64" s="231">
        <f t="shared" si="50"/>
        <v>0</v>
      </c>
      <c r="G64" s="231">
        <f t="shared" si="51"/>
        <v>0</v>
      </c>
      <c r="H64" s="231">
        <f t="shared" si="52"/>
        <v>0</v>
      </c>
      <c r="I64" s="268">
        <f t="shared" si="5"/>
        <v>0</v>
      </c>
      <c r="J64" s="269">
        <f t="shared" si="53"/>
        <v>0</v>
      </c>
      <c r="K64" s="269">
        <f t="shared" si="54"/>
        <v>0</v>
      </c>
      <c r="L64" s="269">
        <f t="shared" si="7"/>
        <v>0</v>
      </c>
      <c r="M64" s="269">
        <f t="shared" si="8"/>
        <v>0</v>
      </c>
      <c r="N64" s="233">
        <f>VLOOKUP(B64,Dados!$L$86:$P$90,5)</f>
        <v>0</v>
      </c>
      <c r="O64" s="270">
        <f t="shared" si="55"/>
        <v>0.99999999999999989</v>
      </c>
      <c r="P64" s="269">
        <f t="shared" si="56"/>
        <v>0</v>
      </c>
      <c r="Q64" s="269" t="e">
        <f t="shared" si="57"/>
        <v>#DIV/0!</v>
      </c>
      <c r="R64" s="269">
        <f t="shared" si="58"/>
        <v>0</v>
      </c>
      <c r="S64" s="269" t="e">
        <f t="shared" si="59"/>
        <v>#DIV/0!</v>
      </c>
      <c r="T64" s="269" t="e">
        <f t="shared" si="38"/>
        <v>#DIV/0!</v>
      </c>
      <c r="U64" s="234">
        <f t="shared" si="60"/>
        <v>0</v>
      </c>
      <c r="V64" s="232" t="e">
        <f t="shared" si="61"/>
        <v>#DIV/0!</v>
      </c>
      <c r="W64" s="269" t="e">
        <f t="shared" si="62"/>
        <v>#DIV/0!</v>
      </c>
      <c r="X64" s="235">
        <f t="shared" si="14"/>
        <v>0</v>
      </c>
      <c r="Y64" s="236">
        <f t="shared" si="63"/>
        <v>5</v>
      </c>
      <c r="Z64" s="236" t="e">
        <f t="shared" si="64"/>
        <v>#DIV/0!</v>
      </c>
      <c r="AA64" s="236">
        <f t="shared" si="65"/>
        <v>3</v>
      </c>
      <c r="AB64" s="236" t="e">
        <f t="shared" si="66"/>
        <v>#DIV/0!</v>
      </c>
      <c r="AC64" s="235">
        <f t="shared" si="67"/>
        <v>0</v>
      </c>
      <c r="AD64" s="235">
        <f t="shared" si="68"/>
        <v>0</v>
      </c>
      <c r="AE64" s="279">
        <f t="shared" si="69"/>
        <v>0</v>
      </c>
      <c r="AF64" s="232">
        <f t="shared" si="70"/>
        <v>0</v>
      </c>
      <c r="AG64" s="235">
        <f t="shared" si="71"/>
        <v>0</v>
      </c>
      <c r="AH64" s="269">
        <f t="shared" si="72"/>
        <v>0</v>
      </c>
      <c r="AI64" s="232">
        <f t="shared" si="73"/>
        <v>0</v>
      </c>
      <c r="AJ64" s="235">
        <f t="shared" si="74"/>
        <v>0</v>
      </c>
      <c r="AK64" s="269">
        <f t="shared" si="75"/>
        <v>0</v>
      </c>
      <c r="AL64" s="269">
        <f t="shared" si="27"/>
        <v>0</v>
      </c>
      <c r="AM64" s="281" t="e">
        <f>IF(B64&gt;=mpfo,pos*vvm*Dados!$E$122*(ntudv-SUM(U65:$U$301))-SUM($AM$13:AM63),0)</f>
        <v>#DIV/0!</v>
      </c>
      <c r="AN64" s="269" t="e">
        <f t="shared" si="76"/>
        <v>#DIV/0!</v>
      </c>
      <c r="AO64" s="232" t="e">
        <f t="shared" si="77"/>
        <v>#DIV/0!</v>
      </c>
      <c r="AP64" s="242" t="e">
        <f t="shared" si="78"/>
        <v>#DIV/0!</v>
      </c>
      <c r="AQ64" s="235" t="e">
        <f>IF(AP64+SUM($AQ$12:AQ63)&gt;=0,0,-AP64-SUM($AQ$12:AQ63))</f>
        <v>#DIV/0!</v>
      </c>
      <c r="AR64" s="235">
        <f>IF(SUM($N$13:N63)&gt;=pmo,IF(SUM(N63:$N$501)&gt;(1-pmo),B64,0),0)</f>
        <v>0</v>
      </c>
      <c r="AS64" s="235" t="e">
        <f>IF((SUM($U$13:$U63)/ntudv)&gt;=pmv,IF((SUM($U63:$U$501)/ntudv)&gt;(1-pmv),B64,0),0)</f>
        <v>#DIV/0!</v>
      </c>
      <c r="AT64" s="237" t="e">
        <f>IF(MAX(mmo,mmv)=mmo,IF(B64=AR64,(SUM(N$13:$N63)-pmo)/((1-VLOOKUP(MAX(mmo,mmv)-1,$B$13:$O$501,14))+(VLOOKUP(MAX(mmo,mmv)-1,$B$13:$O$501,14)-pmo)),N63/((1-VLOOKUP(MAX(mmo,mmv)-1,$B$13:$O$501,14)+(VLOOKUP(MAX(mmo,mmv)-1,$B$13:$O$501,14)-pmo)))),N63/(1-VLOOKUP(MAX(mmo,mmv)-2,$B$13:$O$501,14)))</f>
        <v>#DIV/0!</v>
      </c>
      <c r="AU64" s="101" t="e">
        <f t="shared" si="29"/>
        <v>#DIV/0!</v>
      </c>
      <c r="AV64" s="287" t="e">
        <f t="shared" si="30"/>
        <v>#DIV/0!</v>
      </c>
      <c r="AW64" s="235" t="e">
        <f t="shared" si="79"/>
        <v>#DIV/0!</v>
      </c>
      <c r="AX64" s="281">
        <f>IF(B64&gt;mpfo,0,IF(B64=mpfo,(vld-teo*(1+tcfo-incc)^(MAX(mmo,mmv)-mbfo))*-1,IF(SUM($N$13:N63)&gt;=pmo,IF(($V63/ntudv)&gt;=pmv,IF(B64=MAX(mmo,mmv),-teo*(1+tcfo-incc)^(B64-mbfo),0),0),0)))</f>
        <v>0</v>
      </c>
      <c r="AY64" s="292" t="e">
        <f t="shared" si="32"/>
        <v>#DIV/0!</v>
      </c>
      <c r="AZ64" s="235" t="e">
        <f t="shared" si="80"/>
        <v>#DIV/0!</v>
      </c>
      <c r="BA64" s="269" t="e">
        <f t="shared" si="81"/>
        <v>#DIV/0!</v>
      </c>
      <c r="BB64" s="292" t="e">
        <f t="shared" si="82"/>
        <v>#DIV/0!</v>
      </c>
      <c r="BC64" s="238" t="e">
        <f>IF(SUM($BC$13:BC63)&gt;0,0,IF(BB64&gt;0,B64,0))</f>
        <v>#DIV/0!</v>
      </c>
      <c r="BD64" s="292" t="e">
        <f>IF(BB64+SUM($BD$12:BD63)&gt;=0,0,-BB64-SUM($BD$12:BD63))</f>
        <v>#DIV/0!</v>
      </c>
      <c r="BE64" s="235" t="e">
        <f>BB64+SUM($BD$12:BD64)</f>
        <v>#DIV/0!</v>
      </c>
      <c r="BF64" s="292" t="e">
        <f>-MIN(BE64:$BE$501)-SUM(BF$12:$BF63)</f>
        <v>#DIV/0!</v>
      </c>
      <c r="BG64" s="235" t="e">
        <f t="shared" si="47"/>
        <v>#DIV/0!</v>
      </c>
    </row>
    <row r="65" spans="2:59">
      <c r="B65" s="120">
        <v>52</v>
      </c>
      <c r="C65" s="241">
        <f t="shared" si="43"/>
        <v>44260</v>
      </c>
      <c r="D65" s="229">
        <f t="shared" si="48"/>
        <v>3</v>
      </c>
      <c r="E65" s="230" t="str">
        <f t="shared" si="49"/>
        <v>-</v>
      </c>
      <c r="F65" s="231">
        <f t="shared" si="50"/>
        <v>0</v>
      </c>
      <c r="G65" s="231">
        <f t="shared" si="51"/>
        <v>0</v>
      </c>
      <c r="H65" s="231">
        <f t="shared" si="52"/>
        <v>0</v>
      </c>
      <c r="I65" s="268">
        <f t="shared" si="5"/>
        <v>0</v>
      </c>
      <c r="J65" s="269">
        <f t="shared" si="53"/>
        <v>0</v>
      </c>
      <c r="K65" s="269">
        <f t="shared" si="54"/>
        <v>0</v>
      </c>
      <c r="L65" s="269">
        <f t="shared" si="7"/>
        <v>0</v>
      </c>
      <c r="M65" s="269">
        <f t="shared" si="8"/>
        <v>0</v>
      </c>
      <c r="N65" s="233">
        <f>VLOOKUP(B65,Dados!$L$86:$P$90,5)</f>
        <v>0</v>
      </c>
      <c r="O65" s="270">
        <f t="shared" si="55"/>
        <v>0.99999999999999989</v>
      </c>
      <c r="P65" s="269">
        <f t="shared" si="56"/>
        <v>0</v>
      </c>
      <c r="Q65" s="269" t="e">
        <f t="shared" si="57"/>
        <v>#DIV/0!</v>
      </c>
      <c r="R65" s="269">
        <f t="shared" si="58"/>
        <v>0</v>
      </c>
      <c r="S65" s="269" t="e">
        <f t="shared" si="59"/>
        <v>#DIV/0!</v>
      </c>
      <c r="T65" s="269" t="e">
        <f t="shared" si="38"/>
        <v>#DIV/0!</v>
      </c>
      <c r="U65" s="234">
        <f t="shared" si="60"/>
        <v>0</v>
      </c>
      <c r="V65" s="232" t="e">
        <f t="shared" si="61"/>
        <v>#DIV/0!</v>
      </c>
      <c r="W65" s="269" t="e">
        <f t="shared" si="62"/>
        <v>#DIV/0!</v>
      </c>
      <c r="X65" s="235">
        <f t="shared" si="14"/>
        <v>0</v>
      </c>
      <c r="Y65" s="236">
        <f t="shared" si="63"/>
        <v>5</v>
      </c>
      <c r="Z65" s="236" t="e">
        <f t="shared" si="64"/>
        <v>#DIV/0!</v>
      </c>
      <c r="AA65" s="236">
        <f t="shared" si="65"/>
        <v>3</v>
      </c>
      <c r="AB65" s="236" t="e">
        <f t="shared" si="66"/>
        <v>#DIV/0!</v>
      </c>
      <c r="AC65" s="235">
        <f t="shared" si="67"/>
        <v>0</v>
      </c>
      <c r="AD65" s="235">
        <f t="shared" si="68"/>
        <v>0</v>
      </c>
      <c r="AE65" s="279">
        <f t="shared" si="69"/>
        <v>0</v>
      </c>
      <c r="AF65" s="232">
        <f t="shared" si="70"/>
        <v>0</v>
      </c>
      <c r="AG65" s="235">
        <f t="shared" si="71"/>
        <v>0</v>
      </c>
      <c r="AH65" s="269">
        <f t="shared" si="72"/>
        <v>0</v>
      </c>
      <c r="AI65" s="232">
        <f t="shared" si="73"/>
        <v>0</v>
      </c>
      <c r="AJ65" s="235">
        <f t="shared" si="74"/>
        <v>0</v>
      </c>
      <c r="AK65" s="269">
        <f t="shared" si="75"/>
        <v>0</v>
      </c>
      <c r="AL65" s="269">
        <f t="shared" si="27"/>
        <v>0</v>
      </c>
      <c r="AM65" s="281" t="e">
        <f>IF(B65&gt;=mpfo,pos*vvm*Dados!$E$122*(ntudv-SUM(U66:$U$301))-SUM($AM$13:AM64),0)</f>
        <v>#DIV/0!</v>
      </c>
      <c r="AN65" s="269" t="e">
        <f t="shared" si="76"/>
        <v>#DIV/0!</v>
      </c>
      <c r="AO65" s="232" t="e">
        <f t="shared" si="77"/>
        <v>#DIV/0!</v>
      </c>
      <c r="AP65" s="242" t="e">
        <f t="shared" si="78"/>
        <v>#DIV/0!</v>
      </c>
      <c r="AQ65" s="235" t="e">
        <f>IF(AP65+SUM($AQ$12:AQ64)&gt;=0,0,-AP65-SUM($AQ$12:AQ64))</f>
        <v>#DIV/0!</v>
      </c>
      <c r="AR65" s="235">
        <f>IF(SUM($N$13:N64)&gt;=pmo,IF(SUM(N64:$N$501)&gt;(1-pmo),B65,0),0)</f>
        <v>0</v>
      </c>
      <c r="AS65" s="235" t="e">
        <f>IF((SUM($U$13:$U64)/ntudv)&gt;=pmv,IF((SUM($U64:$U$501)/ntudv)&gt;(1-pmv),B65,0),0)</f>
        <v>#DIV/0!</v>
      </c>
      <c r="AT65" s="237" t="e">
        <f>IF(MAX(mmo,mmv)=mmo,IF(B65=AR65,(SUM(N$13:$N64)-pmo)/((1-VLOOKUP(MAX(mmo,mmv)-1,$B$13:$O$501,14))+(VLOOKUP(MAX(mmo,mmv)-1,$B$13:$O$501,14)-pmo)),N64/((1-VLOOKUP(MAX(mmo,mmv)-1,$B$13:$O$501,14)+(VLOOKUP(MAX(mmo,mmv)-1,$B$13:$O$501,14)-pmo)))),N64/(1-VLOOKUP(MAX(mmo,mmv)-2,$B$13:$O$501,14)))</f>
        <v>#DIV/0!</v>
      </c>
      <c r="AU65" s="101" t="e">
        <f t="shared" si="29"/>
        <v>#DIV/0!</v>
      </c>
      <c r="AV65" s="287" t="e">
        <f t="shared" si="30"/>
        <v>#DIV/0!</v>
      </c>
      <c r="AW65" s="235" t="e">
        <f t="shared" si="79"/>
        <v>#DIV/0!</v>
      </c>
      <c r="AX65" s="281">
        <f>IF(B65&gt;mpfo,0,IF(B65=mpfo,(vld-teo*(1+tcfo-incc)^(MAX(mmo,mmv)-mbfo))*-1,IF(SUM($N$13:N64)&gt;=pmo,IF(($V64/ntudv)&gt;=pmv,IF(B65=MAX(mmo,mmv),-teo*(1+tcfo-incc)^(B65-mbfo),0),0),0)))</f>
        <v>0</v>
      </c>
      <c r="AY65" s="292" t="e">
        <f t="shared" si="32"/>
        <v>#DIV/0!</v>
      </c>
      <c r="AZ65" s="235" t="e">
        <f t="shared" si="80"/>
        <v>#DIV/0!</v>
      </c>
      <c r="BA65" s="269" t="e">
        <f t="shared" si="81"/>
        <v>#DIV/0!</v>
      </c>
      <c r="BB65" s="292" t="e">
        <f t="shared" si="82"/>
        <v>#DIV/0!</v>
      </c>
      <c r="BC65" s="238" t="e">
        <f>IF(SUM($BC$13:BC64)&gt;0,0,IF(BB65&gt;0,B65,0))</f>
        <v>#DIV/0!</v>
      </c>
      <c r="BD65" s="292" t="e">
        <f>IF(BB65+SUM($BD$12:BD64)&gt;=0,0,-BB65-SUM($BD$12:BD64))</f>
        <v>#DIV/0!</v>
      </c>
      <c r="BE65" s="235" t="e">
        <f>BB65+SUM($BD$12:BD65)</f>
        <v>#DIV/0!</v>
      </c>
      <c r="BF65" s="292" t="e">
        <f>-MIN(BE65:$BE$501)-SUM(BF$12:$BF64)</f>
        <v>#DIV/0!</v>
      </c>
      <c r="BG65" s="235" t="e">
        <f t="shared" si="47"/>
        <v>#DIV/0!</v>
      </c>
    </row>
    <row r="66" spans="2:59">
      <c r="B66" s="246">
        <v>53</v>
      </c>
      <c r="C66" s="241">
        <f t="shared" si="43"/>
        <v>44291</v>
      </c>
      <c r="D66" s="229">
        <f t="shared" si="48"/>
        <v>4</v>
      </c>
      <c r="E66" s="230" t="str">
        <f t="shared" si="49"/>
        <v>-</v>
      </c>
      <c r="F66" s="231">
        <f t="shared" si="50"/>
        <v>0</v>
      </c>
      <c r="G66" s="231">
        <f t="shared" si="51"/>
        <v>0</v>
      </c>
      <c r="H66" s="231">
        <f t="shared" si="52"/>
        <v>0</v>
      </c>
      <c r="I66" s="268">
        <f t="shared" si="5"/>
        <v>0</v>
      </c>
      <c r="J66" s="269">
        <f t="shared" si="53"/>
        <v>0</v>
      </c>
      <c r="K66" s="269">
        <f t="shared" si="54"/>
        <v>0</v>
      </c>
      <c r="L66" s="269">
        <f t="shared" si="7"/>
        <v>0</v>
      </c>
      <c r="M66" s="269">
        <f t="shared" si="8"/>
        <v>0</v>
      </c>
      <c r="N66" s="233">
        <f>VLOOKUP(B66,Dados!$L$86:$P$90,5)</f>
        <v>0</v>
      </c>
      <c r="O66" s="270">
        <f t="shared" si="55"/>
        <v>0.99999999999999989</v>
      </c>
      <c r="P66" s="269">
        <f t="shared" si="56"/>
        <v>0</v>
      </c>
      <c r="Q66" s="269" t="e">
        <f t="shared" si="57"/>
        <v>#DIV/0!</v>
      </c>
      <c r="R66" s="269">
        <f t="shared" si="58"/>
        <v>0</v>
      </c>
      <c r="S66" s="269" t="e">
        <f t="shared" si="59"/>
        <v>#DIV/0!</v>
      </c>
      <c r="T66" s="269" t="e">
        <f t="shared" si="38"/>
        <v>#DIV/0!</v>
      </c>
      <c r="U66" s="234">
        <f t="shared" si="60"/>
        <v>0</v>
      </c>
      <c r="V66" s="232" t="e">
        <f t="shared" si="61"/>
        <v>#DIV/0!</v>
      </c>
      <c r="W66" s="269" t="e">
        <f t="shared" si="62"/>
        <v>#DIV/0!</v>
      </c>
      <c r="X66" s="235">
        <f t="shared" si="14"/>
        <v>0</v>
      </c>
      <c r="Y66" s="236">
        <f t="shared" si="63"/>
        <v>5</v>
      </c>
      <c r="Z66" s="236" t="e">
        <f t="shared" si="64"/>
        <v>#DIV/0!</v>
      </c>
      <c r="AA66" s="236">
        <f t="shared" si="65"/>
        <v>3</v>
      </c>
      <c r="AB66" s="236" t="e">
        <f t="shared" si="66"/>
        <v>#DIV/0!</v>
      </c>
      <c r="AC66" s="235">
        <f t="shared" si="67"/>
        <v>0</v>
      </c>
      <c r="AD66" s="235">
        <f t="shared" si="68"/>
        <v>0</v>
      </c>
      <c r="AE66" s="279">
        <f t="shared" si="69"/>
        <v>0</v>
      </c>
      <c r="AF66" s="232">
        <f t="shared" si="70"/>
        <v>0</v>
      </c>
      <c r="AG66" s="235">
        <f t="shared" si="71"/>
        <v>0</v>
      </c>
      <c r="AH66" s="269">
        <f t="shared" si="72"/>
        <v>0</v>
      </c>
      <c r="AI66" s="232">
        <f t="shared" si="73"/>
        <v>0</v>
      </c>
      <c r="AJ66" s="235">
        <f t="shared" si="74"/>
        <v>0</v>
      </c>
      <c r="AK66" s="269">
        <f t="shared" si="75"/>
        <v>0</v>
      </c>
      <c r="AL66" s="269">
        <f t="shared" si="27"/>
        <v>0</v>
      </c>
      <c r="AM66" s="281" t="e">
        <f>IF(B66&gt;=mpfo,pos*vvm*Dados!$E$122*(ntudv-SUM(U67:$U$301))-SUM($AM$13:AM65),0)</f>
        <v>#DIV/0!</v>
      </c>
      <c r="AN66" s="269" t="e">
        <f t="shared" si="76"/>
        <v>#DIV/0!</v>
      </c>
      <c r="AO66" s="232" t="e">
        <f t="shared" si="77"/>
        <v>#DIV/0!</v>
      </c>
      <c r="AP66" s="242" t="e">
        <f t="shared" si="78"/>
        <v>#DIV/0!</v>
      </c>
      <c r="AQ66" s="235" t="e">
        <f>IF(AP66+SUM($AQ$12:AQ65)&gt;=0,0,-AP66-SUM($AQ$12:AQ65))</f>
        <v>#DIV/0!</v>
      </c>
      <c r="AR66" s="235">
        <f>IF(SUM($N$13:N65)&gt;=pmo,IF(SUM(N65:$N$501)&gt;(1-pmo),B66,0),0)</f>
        <v>0</v>
      </c>
      <c r="AS66" s="235" t="e">
        <f>IF((SUM($U$13:$U65)/ntudv)&gt;=pmv,IF((SUM($U65:$U$501)/ntudv)&gt;(1-pmv),B66,0),0)</f>
        <v>#DIV/0!</v>
      </c>
      <c r="AT66" s="237" t="e">
        <f>IF(MAX(mmo,mmv)=mmo,IF(B66=AR66,(SUM(N$13:$N65)-pmo)/((1-VLOOKUP(MAX(mmo,mmv)-1,$B$13:$O$501,14))+(VLOOKUP(MAX(mmo,mmv)-1,$B$13:$O$501,14)-pmo)),N65/((1-VLOOKUP(MAX(mmo,mmv)-1,$B$13:$O$501,14)+(VLOOKUP(MAX(mmo,mmv)-1,$B$13:$O$501,14)-pmo)))),N65/(1-VLOOKUP(MAX(mmo,mmv)-2,$B$13:$O$501,14)))</f>
        <v>#DIV/0!</v>
      </c>
      <c r="AU66" s="101" t="e">
        <f t="shared" si="29"/>
        <v>#DIV/0!</v>
      </c>
      <c r="AV66" s="287" t="e">
        <f t="shared" si="30"/>
        <v>#DIV/0!</v>
      </c>
      <c r="AW66" s="235" t="e">
        <f t="shared" si="79"/>
        <v>#DIV/0!</v>
      </c>
      <c r="AX66" s="281">
        <f>IF(B66&gt;mpfo,0,IF(B66=mpfo,(vld-teo*(1+tcfo-incc)^(MAX(mmo,mmv)-mbfo))*-1,IF(SUM($N$13:N65)&gt;=pmo,IF(($V65/ntudv)&gt;=pmv,IF(B66=MAX(mmo,mmv),-teo*(1+tcfo-incc)^(B66-mbfo),0),0),0)))</f>
        <v>0</v>
      </c>
      <c r="AY66" s="292" t="e">
        <f t="shared" si="32"/>
        <v>#DIV/0!</v>
      </c>
      <c r="AZ66" s="235" t="e">
        <f t="shared" si="80"/>
        <v>#DIV/0!</v>
      </c>
      <c r="BA66" s="269" t="e">
        <f t="shared" si="81"/>
        <v>#DIV/0!</v>
      </c>
      <c r="BB66" s="292" t="e">
        <f t="shared" si="82"/>
        <v>#DIV/0!</v>
      </c>
      <c r="BC66" s="238" t="e">
        <f>IF(SUM($BC$13:BC65)&gt;0,0,IF(BB66&gt;0,B66,0))</f>
        <v>#DIV/0!</v>
      </c>
      <c r="BD66" s="292" t="e">
        <f>IF(BB66+SUM($BD$12:BD65)&gt;=0,0,-BB66-SUM($BD$12:BD65))</f>
        <v>#DIV/0!</v>
      </c>
      <c r="BE66" s="235" t="e">
        <f>BB66+SUM($BD$12:BD66)</f>
        <v>#DIV/0!</v>
      </c>
      <c r="BF66" s="292" t="e">
        <f>-MIN(BE66:$BE$501)-SUM(BF$12:$BF65)</f>
        <v>#DIV/0!</v>
      </c>
      <c r="BG66" s="235" t="e">
        <f t="shared" si="47"/>
        <v>#DIV/0!</v>
      </c>
    </row>
    <row r="67" spans="2:59">
      <c r="B67" s="120">
        <v>54</v>
      </c>
      <c r="C67" s="241">
        <f t="shared" si="43"/>
        <v>44321</v>
      </c>
      <c r="D67" s="229">
        <f t="shared" si="48"/>
        <v>5</v>
      </c>
      <c r="E67" s="230" t="str">
        <f t="shared" si="49"/>
        <v>-</v>
      </c>
      <c r="F67" s="231">
        <f t="shared" si="50"/>
        <v>0</v>
      </c>
      <c r="G67" s="231">
        <f t="shared" si="51"/>
        <v>0</v>
      </c>
      <c r="H67" s="231">
        <f t="shared" si="52"/>
        <v>0</v>
      </c>
      <c r="I67" s="268">
        <f t="shared" si="5"/>
        <v>0</v>
      </c>
      <c r="J67" s="269">
        <f t="shared" si="53"/>
        <v>0</v>
      </c>
      <c r="K67" s="269">
        <f t="shared" si="54"/>
        <v>0</v>
      </c>
      <c r="L67" s="269">
        <f t="shared" si="7"/>
        <v>0</v>
      </c>
      <c r="M67" s="269">
        <f t="shared" si="8"/>
        <v>0</v>
      </c>
      <c r="N67" s="233">
        <f>VLOOKUP(B67,Dados!$L$86:$P$90,5)</f>
        <v>0</v>
      </c>
      <c r="O67" s="270">
        <f t="shared" si="55"/>
        <v>0.99999999999999989</v>
      </c>
      <c r="P67" s="269">
        <f t="shared" si="56"/>
        <v>0</v>
      </c>
      <c r="Q67" s="269" t="e">
        <f t="shared" si="57"/>
        <v>#DIV/0!</v>
      </c>
      <c r="R67" s="269">
        <f t="shared" si="58"/>
        <v>0</v>
      </c>
      <c r="S67" s="269" t="e">
        <f t="shared" si="59"/>
        <v>#DIV/0!</v>
      </c>
      <c r="T67" s="269" t="e">
        <f t="shared" si="38"/>
        <v>#DIV/0!</v>
      </c>
      <c r="U67" s="234">
        <f t="shared" si="60"/>
        <v>0</v>
      </c>
      <c r="V67" s="232" t="e">
        <f t="shared" si="61"/>
        <v>#DIV/0!</v>
      </c>
      <c r="W67" s="269" t="e">
        <f t="shared" si="62"/>
        <v>#DIV/0!</v>
      </c>
      <c r="X67" s="235">
        <f t="shared" si="14"/>
        <v>0</v>
      </c>
      <c r="Y67" s="236">
        <f t="shared" si="63"/>
        <v>5</v>
      </c>
      <c r="Z67" s="236" t="e">
        <f t="shared" si="64"/>
        <v>#DIV/0!</v>
      </c>
      <c r="AA67" s="236">
        <f t="shared" si="65"/>
        <v>3</v>
      </c>
      <c r="AB67" s="236" t="e">
        <f t="shared" si="66"/>
        <v>#DIV/0!</v>
      </c>
      <c r="AC67" s="235">
        <f t="shared" si="67"/>
        <v>0</v>
      </c>
      <c r="AD67" s="235">
        <f t="shared" si="68"/>
        <v>0</v>
      </c>
      <c r="AE67" s="279">
        <f t="shared" si="69"/>
        <v>0</v>
      </c>
      <c r="AF67" s="232">
        <f t="shared" si="70"/>
        <v>0</v>
      </c>
      <c r="AG67" s="235">
        <f t="shared" si="71"/>
        <v>0</v>
      </c>
      <c r="AH67" s="269">
        <f t="shared" si="72"/>
        <v>0</v>
      </c>
      <c r="AI67" s="232">
        <f t="shared" si="73"/>
        <v>0</v>
      </c>
      <c r="AJ67" s="235">
        <f t="shared" si="74"/>
        <v>0</v>
      </c>
      <c r="AK67" s="269">
        <f t="shared" si="75"/>
        <v>0</v>
      </c>
      <c r="AL67" s="269">
        <f t="shared" si="27"/>
        <v>0</v>
      </c>
      <c r="AM67" s="281" t="e">
        <f>IF(B67&gt;=mpfo,pos*vvm*Dados!$E$122*(ntudv-SUM(U68:$U$301))-SUM($AM$13:AM66),0)</f>
        <v>#DIV/0!</v>
      </c>
      <c r="AN67" s="269" t="e">
        <f t="shared" si="76"/>
        <v>#DIV/0!</v>
      </c>
      <c r="AO67" s="232" t="e">
        <f t="shared" si="77"/>
        <v>#DIV/0!</v>
      </c>
      <c r="AP67" s="242" t="e">
        <f t="shared" si="78"/>
        <v>#DIV/0!</v>
      </c>
      <c r="AQ67" s="235" t="e">
        <f>IF(AP67+SUM($AQ$12:AQ66)&gt;=0,0,-AP67-SUM($AQ$12:AQ66))</f>
        <v>#DIV/0!</v>
      </c>
      <c r="AR67" s="235">
        <f>IF(SUM($N$13:N66)&gt;=pmo,IF(SUM(N66:$N$501)&gt;(1-pmo),B67,0),0)</f>
        <v>0</v>
      </c>
      <c r="AS67" s="235" t="e">
        <f>IF((SUM($U$13:$U66)/ntudv)&gt;=pmv,IF((SUM($U66:$U$501)/ntudv)&gt;(1-pmv),B67,0),0)</f>
        <v>#DIV/0!</v>
      </c>
      <c r="AT67" s="237" t="e">
        <f>IF(MAX(mmo,mmv)=mmo,IF(B67=AR67,(SUM(N$13:$N66)-pmo)/((1-VLOOKUP(MAX(mmo,mmv)-1,$B$13:$O$501,14))+(VLOOKUP(MAX(mmo,mmv)-1,$B$13:$O$501,14)-pmo)),N66/((1-VLOOKUP(MAX(mmo,mmv)-1,$B$13:$O$501,14)+(VLOOKUP(MAX(mmo,mmv)-1,$B$13:$O$501,14)-pmo)))),N66/(1-VLOOKUP(MAX(mmo,mmv)-2,$B$13:$O$501,14)))</f>
        <v>#DIV/0!</v>
      </c>
      <c r="AU67" s="101" t="e">
        <f t="shared" si="29"/>
        <v>#DIV/0!</v>
      </c>
      <c r="AV67" s="287" t="e">
        <f t="shared" si="30"/>
        <v>#DIV/0!</v>
      </c>
      <c r="AW67" s="235" t="e">
        <f t="shared" si="79"/>
        <v>#DIV/0!</v>
      </c>
      <c r="AX67" s="281">
        <f>IF(B67&gt;mpfo,0,IF(B67=mpfo,(vld-teo*(1+tcfo-incc)^(MAX(mmo,mmv)-mbfo))*-1,IF(SUM($N$13:N66)&gt;=pmo,IF(($V66/ntudv)&gt;=pmv,IF(B67=MAX(mmo,mmv),-teo*(1+tcfo-incc)^(B67-mbfo),0),0),0)))</f>
        <v>0</v>
      </c>
      <c r="AY67" s="292" t="e">
        <f t="shared" si="32"/>
        <v>#DIV/0!</v>
      </c>
      <c r="AZ67" s="235" t="e">
        <f t="shared" si="80"/>
        <v>#DIV/0!</v>
      </c>
      <c r="BA67" s="269" t="e">
        <f t="shared" si="81"/>
        <v>#DIV/0!</v>
      </c>
      <c r="BB67" s="292" t="e">
        <f t="shared" si="82"/>
        <v>#DIV/0!</v>
      </c>
      <c r="BC67" s="238" t="e">
        <f>IF(SUM($BC$13:BC66)&gt;0,0,IF(BB67&gt;0,B67,0))</f>
        <v>#DIV/0!</v>
      </c>
      <c r="BD67" s="292" t="e">
        <f>IF(BB67+SUM($BD$12:BD66)&gt;=0,0,-BB67-SUM($BD$12:BD66))</f>
        <v>#DIV/0!</v>
      </c>
      <c r="BE67" s="235" t="e">
        <f>BB67+SUM($BD$12:BD67)</f>
        <v>#DIV/0!</v>
      </c>
      <c r="BF67" s="292" t="e">
        <f>-MIN(BE67:$BE$501)-SUM(BF$12:$BF66)</f>
        <v>#DIV/0!</v>
      </c>
      <c r="BG67" s="235" t="e">
        <f t="shared" si="47"/>
        <v>#DIV/0!</v>
      </c>
    </row>
    <row r="68" spans="2:59">
      <c r="B68" s="246">
        <v>55</v>
      </c>
      <c r="C68" s="241">
        <f t="shared" si="43"/>
        <v>44352</v>
      </c>
      <c r="D68" s="229">
        <f t="shared" si="48"/>
        <v>6</v>
      </c>
      <c r="E68" s="230" t="str">
        <f t="shared" si="49"/>
        <v>-</v>
      </c>
      <c r="F68" s="231">
        <f t="shared" si="50"/>
        <v>0</v>
      </c>
      <c r="G68" s="231">
        <f t="shared" si="51"/>
        <v>0</v>
      </c>
      <c r="H68" s="231">
        <f t="shared" si="52"/>
        <v>0</v>
      </c>
      <c r="I68" s="268">
        <f t="shared" si="5"/>
        <v>0</v>
      </c>
      <c r="J68" s="269">
        <f t="shared" si="53"/>
        <v>0</v>
      </c>
      <c r="K68" s="269">
        <f t="shared" si="54"/>
        <v>0</v>
      </c>
      <c r="L68" s="269">
        <f t="shared" si="7"/>
        <v>0</v>
      </c>
      <c r="M68" s="269">
        <f t="shared" si="8"/>
        <v>0</v>
      </c>
      <c r="N68" s="233">
        <f>VLOOKUP(B68,Dados!$L$86:$P$90,5)</f>
        <v>0</v>
      </c>
      <c r="O68" s="270">
        <f t="shared" si="55"/>
        <v>0.99999999999999989</v>
      </c>
      <c r="P68" s="269">
        <f t="shared" si="56"/>
        <v>0</v>
      </c>
      <c r="Q68" s="269" t="e">
        <f t="shared" si="57"/>
        <v>#DIV/0!</v>
      </c>
      <c r="R68" s="269">
        <f t="shared" si="58"/>
        <v>0</v>
      </c>
      <c r="S68" s="269" t="e">
        <f t="shared" si="59"/>
        <v>#DIV/0!</v>
      </c>
      <c r="T68" s="269" t="e">
        <f t="shared" si="38"/>
        <v>#DIV/0!</v>
      </c>
      <c r="U68" s="234">
        <f t="shared" si="60"/>
        <v>0</v>
      </c>
      <c r="V68" s="232" t="e">
        <f t="shared" si="61"/>
        <v>#DIV/0!</v>
      </c>
      <c r="W68" s="269" t="e">
        <f t="shared" si="62"/>
        <v>#DIV/0!</v>
      </c>
      <c r="X68" s="235">
        <f t="shared" si="14"/>
        <v>0</v>
      </c>
      <c r="Y68" s="236">
        <f t="shared" si="63"/>
        <v>5</v>
      </c>
      <c r="Z68" s="236" t="e">
        <f t="shared" si="64"/>
        <v>#DIV/0!</v>
      </c>
      <c r="AA68" s="236">
        <f t="shared" si="65"/>
        <v>3</v>
      </c>
      <c r="AB68" s="236" t="e">
        <f t="shared" si="66"/>
        <v>#DIV/0!</v>
      </c>
      <c r="AC68" s="235">
        <f t="shared" si="67"/>
        <v>0</v>
      </c>
      <c r="AD68" s="235">
        <f t="shared" si="68"/>
        <v>0</v>
      </c>
      <c r="AE68" s="279">
        <f t="shared" si="69"/>
        <v>0</v>
      </c>
      <c r="AF68" s="232">
        <f t="shared" si="70"/>
        <v>1</v>
      </c>
      <c r="AG68" s="235">
        <f t="shared" si="71"/>
        <v>0</v>
      </c>
      <c r="AH68" s="269">
        <f t="shared" si="72"/>
        <v>0</v>
      </c>
      <c r="AI68" s="232">
        <f t="shared" si="73"/>
        <v>0</v>
      </c>
      <c r="AJ68" s="235">
        <f t="shared" si="74"/>
        <v>0</v>
      </c>
      <c r="AK68" s="269">
        <f t="shared" si="75"/>
        <v>0</v>
      </c>
      <c r="AL68" s="269">
        <f t="shared" si="27"/>
        <v>0</v>
      </c>
      <c r="AM68" s="281" t="e">
        <f>IF(B68&gt;=mpfo,pos*vvm*Dados!$E$122*(ntudv-SUM(U69:$U$301))-SUM($AM$13:AM67),0)</f>
        <v>#DIV/0!</v>
      </c>
      <c r="AN68" s="269" t="e">
        <f t="shared" si="76"/>
        <v>#DIV/0!</v>
      </c>
      <c r="AO68" s="232" t="e">
        <f t="shared" si="77"/>
        <v>#DIV/0!</v>
      </c>
      <c r="AP68" s="242" t="e">
        <f t="shared" si="78"/>
        <v>#DIV/0!</v>
      </c>
      <c r="AQ68" s="235" t="e">
        <f>IF(AP68+SUM($AQ$12:AQ67)&gt;=0,0,-AP68-SUM($AQ$12:AQ67))</f>
        <v>#DIV/0!</v>
      </c>
      <c r="AR68" s="235">
        <f>IF(SUM($N$13:N67)&gt;=pmo,IF(SUM(N67:$N$501)&gt;(1-pmo),B68,0),0)</f>
        <v>0</v>
      </c>
      <c r="AS68" s="235" t="e">
        <f>IF((SUM($U$13:$U67)/ntudv)&gt;=pmv,IF((SUM($U67:$U$501)/ntudv)&gt;(1-pmv),B68,0),0)</f>
        <v>#DIV/0!</v>
      </c>
      <c r="AT68" s="237" t="e">
        <f>IF(MAX(mmo,mmv)=mmo,IF(B68=AR68,(SUM(N$13:$N67)-pmo)/((1-VLOOKUP(MAX(mmo,mmv)-1,$B$13:$O$501,14))+(VLOOKUP(MAX(mmo,mmv)-1,$B$13:$O$501,14)-pmo)),N67/((1-VLOOKUP(MAX(mmo,mmv)-1,$B$13:$O$501,14)+(VLOOKUP(MAX(mmo,mmv)-1,$B$13:$O$501,14)-pmo)))),N67/(1-VLOOKUP(MAX(mmo,mmv)-2,$B$13:$O$501,14)))</f>
        <v>#DIV/0!</v>
      </c>
      <c r="AU68" s="101" t="e">
        <f t="shared" si="29"/>
        <v>#DIV/0!</v>
      </c>
      <c r="AV68" s="287" t="e">
        <f t="shared" si="30"/>
        <v>#DIV/0!</v>
      </c>
      <c r="AW68" s="235" t="e">
        <f t="shared" si="79"/>
        <v>#DIV/0!</v>
      </c>
      <c r="AX68" s="281">
        <f>IF(B68&gt;mpfo,0,IF(B68=mpfo,(vld-teo*(1+tcfo-incc)^(MAX(mmo,mmv)-mbfo))*-1,IF(SUM($N$13:N67)&gt;=pmo,IF(($V67/ntudv)&gt;=pmv,IF(B68=MAX(mmo,mmv),-teo*(1+tcfo-incc)^(B68-mbfo),0),0),0)))</f>
        <v>0</v>
      </c>
      <c r="AY68" s="292" t="e">
        <f t="shared" si="32"/>
        <v>#DIV/0!</v>
      </c>
      <c r="AZ68" s="235" t="e">
        <f t="shared" si="80"/>
        <v>#DIV/0!</v>
      </c>
      <c r="BA68" s="269" t="e">
        <f t="shared" si="81"/>
        <v>#DIV/0!</v>
      </c>
      <c r="BB68" s="292" t="e">
        <f t="shared" si="82"/>
        <v>#DIV/0!</v>
      </c>
      <c r="BC68" s="238" t="e">
        <f>IF(SUM($BC$13:BC67)&gt;0,0,IF(BB68&gt;0,B68,0))</f>
        <v>#DIV/0!</v>
      </c>
      <c r="BD68" s="292" t="e">
        <f>IF(BB68+SUM($BD$12:BD67)&gt;=0,0,-BB68-SUM($BD$12:BD67))</f>
        <v>#DIV/0!</v>
      </c>
      <c r="BE68" s="235" t="e">
        <f>BB68+SUM($BD$12:BD68)</f>
        <v>#DIV/0!</v>
      </c>
      <c r="BF68" s="292" t="e">
        <f>-MIN(BE68:$BE$501)-SUM(BF$12:$BF67)</f>
        <v>#DIV/0!</v>
      </c>
      <c r="BG68" s="235" t="e">
        <f t="shared" si="47"/>
        <v>#DIV/0!</v>
      </c>
    </row>
    <row r="69" spans="2:59">
      <c r="B69" s="120">
        <v>56</v>
      </c>
      <c r="C69" s="241">
        <f t="shared" si="43"/>
        <v>44382</v>
      </c>
      <c r="D69" s="229">
        <f t="shared" si="48"/>
        <v>7</v>
      </c>
      <c r="E69" s="230" t="str">
        <f t="shared" si="49"/>
        <v>-</v>
      </c>
      <c r="F69" s="231">
        <f t="shared" si="50"/>
        <v>0</v>
      </c>
      <c r="G69" s="231">
        <f t="shared" si="51"/>
        <v>0</v>
      </c>
      <c r="H69" s="231">
        <f t="shared" si="52"/>
        <v>0</v>
      </c>
      <c r="I69" s="268">
        <f t="shared" si="5"/>
        <v>0</v>
      </c>
      <c r="J69" s="269">
        <f t="shared" si="53"/>
        <v>0</v>
      </c>
      <c r="K69" s="269">
        <f t="shared" si="54"/>
        <v>0</v>
      </c>
      <c r="L69" s="269">
        <f t="shared" si="7"/>
        <v>0</v>
      </c>
      <c r="M69" s="269">
        <f t="shared" si="8"/>
        <v>0</v>
      </c>
      <c r="N69" s="233">
        <f>VLOOKUP(B69,Dados!$L$86:$P$90,5)</f>
        <v>0</v>
      </c>
      <c r="O69" s="270">
        <f t="shared" si="55"/>
        <v>0.99999999999999989</v>
      </c>
      <c r="P69" s="269">
        <f t="shared" si="56"/>
        <v>0</v>
      </c>
      <c r="Q69" s="269" t="e">
        <f t="shared" si="57"/>
        <v>#DIV/0!</v>
      </c>
      <c r="R69" s="269">
        <f t="shared" si="58"/>
        <v>0</v>
      </c>
      <c r="S69" s="269" t="e">
        <f t="shared" si="59"/>
        <v>#DIV/0!</v>
      </c>
      <c r="T69" s="269" t="e">
        <f t="shared" si="38"/>
        <v>#DIV/0!</v>
      </c>
      <c r="U69" s="234">
        <f t="shared" si="60"/>
        <v>0</v>
      </c>
      <c r="V69" s="232" t="e">
        <f t="shared" si="61"/>
        <v>#DIV/0!</v>
      </c>
      <c r="W69" s="269" t="e">
        <f t="shared" si="62"/>
        <v>#DIV/0!</v>
      </c>
      <c r="X69" s="235">
        <f t="shared" si="14"/>
        <v>0</v>
      </c>
      <c r="Y69" s="236">
        <f t="shared" si="63"/>
        <v>5</v>
      </c>
      <c r="Z69" s="236" t="e">
        <f t="shared" si="64"/>
        <v>#DIV/0!</v>
      </c>
      <c r="AA69" s="236">
        <f t="shared" si="65"/>
        <v>3</v>
      </c>
      <c r="AB69" s="236" t="e">
        <f t="shared" si="66"/>
        <v>#DIV/0!</v>
      </c>
      <c r="AC69" s="235">
        <f t="shared" si="67"/>
        <v>0</v>
      </c>
      <c r="AD69" s="235">
        <f t="shared" si="68"/>
        <v>0</v>
      </c>
      <c r="AE69" s="279">
        <f t="shared" si="69"/>
        <v>0</v>
      </c>
      <c r="AF69" s="232">
        <f t="shared" si="70"/>
        <v>0</v>
      </c>
      <c r="AG69" s="235">
        <f t="shared" si="71"/>
        <v>0</v>
      </c>
      <c r="AH69" s="269">
        <f t="shared" si="72"/>
        <v>0</v>
      </c>
      <c r="AI69" s="232">
        <f t="shared" si="73"/>
        <v>0</v>
      </c>
      <c r="AJ69" s="235">
        <f t="shared" si="74"/>
        <v>0</v>
      </c>
      <c r="AK69" s="269">
        <f t="shared" si="75"/>
        <v>0</v>
      </c>
      <c r="AL69" s="269">
        <f t="shared" si="27"/>
        <v>0</v>
      </c>
      <c r="AM69" s="281" t="e">
        <f>IF(B69&gt;=mpfo,pos*vvm*Dados!$E$122*(ntudv-SUM(U70:$U$301))-SUM($AM$13:AM68),0)</f>
        <v>#DIV/0!</v>
      </c>
      <c r="AN69" s="269" t="e">
        <f t="shared" si="76"/>
        <v>#DIV/0!</v>
      </c>
      <c r="AO69" s="232" t="e">
        <f t="shared" si="77"/>
        <v>#DIV/0!</v>
      </c>
      <c r="AP69" s="242" t="e">
        <f t="shared" si="78"/>
        <v>#DIV/0!</v>
      </c>
      <c r="AQ69" s="235" t="e">
        <f>IF(AP69+SUM($AQ$12:AQ68)&gt;=0,0,-AP69-SUM($AQ$12:AQ68))</f>
        <v>#DIV/0!</v>
      </c>
      <c r="AR69" s="235">
        <f>IF(SUM($N$13:N68)&gt;=pmo,IF(SUM(N68:$N$501)&gt;(1-pmo),B69,0),0)</f>
        <v>0</v>
      </c>
      <c r="AS69" s="235" t="e">
        <f>IF((SUM($U$13:$U68)/ntudv)&gt;=pmv,IF((SUM($U68:$U$501)/ntudv)&gt;(1-pmv),B69,0),0)</f>
        <v>#DIV/0!</v>
      </c>
      <c r="AT69" s="237" t="e">
        <f>IF(MAX(mmo,mmv)=mmo,IF(B69=AR69,(SUM(N$13:$N68)-pmo)/((1-VLOOKUP(MAX(mmo,mmv)-1,$B$13:$O$501,14))+(VLOOKUP(MAX(mmo,mmv)-1,$B$13:$O$501,14)-pmo)),N68/((1-VLOOKUP(MAX(mmo,mmv)-1,$B$13:$O$501,14)+(VLOOKUP(MAX(mmo,mmv)-1,$B$13:$O$501,14)-pmo)))),N68/(1-VLOOKUP(MAX(mmo,mmv)-2,$B$13:$O$501,14)))</f>
        <v>#DIV/0!</v>
      </c>
      <c r="AU69" s="101" t="e">
        <f t="shared" si="29"/>
        <v>#DIV/0!</v>
      </c>
      <c r="AV69" s="287" t="e">
        <f t="shared" si="30"/>
        <v>#DIV/0!</v>
      </c>
      <c r="AW69" s="235" t="e">
        <f t="shared" si="79"/>
        <v>#DIV/0!</v>
      </c>
      <c r="AX69" s="281">
        <f>IF(B69&gt;mpfo,0,IF(B69=mpfo,(vld-teo*(1+tcfo-incc)^(MAX(mmo,mmv)-mbfo))*-1,IF(SUM($N$13:N68)&gt;=pmo,IF(($V68/ntudv)&gt;=pmv,IF(B69=MAX(mmo,mmv),-teo*(1+tcfo-incc)^(B69-mbfo),0),0),0)))</f>
        <v>0</v>
      </c>
      <c r="AY69" s="292" t="e">
        <f t="shared" si="32"/>
        <v>#DIV/0!</v>
      </c>
      <c r="AZ69" s="235" t="e">
        <f t="shared" si="80"/>
        <v>#DIV/0!</v>
      </c>
      <c r="BA69" s="269" t="e">
        <f t="shared" si="81"/>
        <v>#DIV/0!</v>
      </c>
      <c r="BB69" s="292" t="e">
        <f t="shared" si="82"/>
        <v>#DIV/0!</v>
      </c>
      <c r="BC69" s="238" t="e">
        <f>IF(SUM($BC$13:BC68)&gt;0,0,IF(BB69&gt;0,B69,0))</f>
        <v>#DIV/0!</v>
      </c>
      <c r="BD69" s="292" t="e">
        <f>IF(BB69+SUM($BD$12:BD68)&gt;=0,0,-BB69-SUM($BD$12:BD68))</f>
        <v>#DIV/0!</v>
      </c>
      <c r="BE69" s="235" t="e">
        <f>BB69+SUM($BD$12:BD69)</f>
        <v>#DIV/0!</v>
      </c>
      <c r="BF69" s="292" t="e">
        <f>-MIN(BE69:$BE$501)-SUM(BF$12:$BF68)</f>
        <v>#DIV/0!</v>
      </c>
      <c r="BG69" s="235" t="e">
        <f t="shared" si="47"/>
        <v>#DIV/0!</v>
      </c>
    </row>
    <row r="70" spans="2:59">
      <c r="B70" s="246">
        <v>57</v>
      </c>
      <c r="C70" s="241">
        <f t="shared" si="43"/>
        <v>44413</v>
      </c>
      <c r="D70" s="229">
        <f t="shared" si="48"/>
        <v>8</v>
      </c>
      <c r="E70" s="230" t="str">
        <f t="shared" si="49"/>
        <v>-</v>
      </c>
      <c r="F70" s="231">
        <f t="shared" si="50"/>
        <v>0</v>
      </c>
      <c r="G70" s="231">
        <f t="shared" si="51"/>
        <v>0</v>
      </c>
      <c r="H70" s="231">
        <f t="shared" si="52"/>
        <v>0</v>
      </c>
      <c r="I70" s="268">
        <f t="shared" si="5"/>
        <v>0</v>
      </c>
      <c r="J70" s="269">
        <f t="shared" si="53"/>
        <v>0</v>
      </c>
      <c r="K70" s="269">
        <f t="shared" si="54"/>
        <v>0</v>
      </c>
      <c r="L70" s="269">
        <f t="shared" si="7"/>
        <v>0</v>
      </c>
      <c r="M70" s="269">
        <f t="shared" si="8"/>
        <v>0</v>
      </c>
      <c r="N70" s="233">
        <f>VLOOKUP(B70,Dados!$L$86:$P$90,5)</f>
        <v>0</v>
      </c>
      <c r="O70" s="270">
        <f t="shared" si="55"/>
        <v>0.99999999999999989</v>
      </c>
      <c r="P70" s="269">
        <f t="shared" si="56"/>
        <v>0</v>
      </c>
      <c r="Q70" s="269" t="e">
        <f t="shared" si="57"/>
        <v>#DIV/0!</v>
      </c>
      <c r="R70" s="269">
        <f t="shared" si="58"/>
        <v>0</v>
      </c>
      <c r="S70" s="269" t="e">
        <f t="shared" si="59"/>
        <v>#DIV/0!</v>
      </c>
      <c r="T70" s="269" t="e">
        <f t="shared" si="38"/>
        <v>#DIV/0!</v>
      </c>
      <c r="U70" s="234">
        <f t="shared" si="60"/>
        <v>0</v>
      </c>
      <c r="V70" s="232" t="e">
        <f t="shared" si="61"/>
        <v>#DIV/0!</v>
      </c>
      <c r="W70" s="269" t="e">
        <f t="shared" si="62"/>
        <v>#DIV/0!</v>
      </c>
      <c r="X70" s="235">
        <f t="shared" si="14"/>
        <v>0</v>
      </c>
      <c r="Y70" s="236">
        <f t="shared" si="63"/>
        <v>5</v>
      </c>
      <c r="Z70" s="236" t="e">
        <f t="shared" si="64"/>
        <v>#DIV/0!</v>
      </c>
      <c r="AA70" s="236">
        <f t="shared" si="65"/>
        <v>3</v>
      </c>
      <c r="AB70" s="236" t="e">
        <f t="shared" si="66"/>
        <v>#DIV/0!</v>
      </c>
      <c r="AC70" s="235">
        <f t="shared" si="67"/>
        <v>0</v>
      </c>
      <c r="AD70" s="235">
        <f t="shared" si="68"/>
        <v>0</v>
      </c>
      <c r="AE70" s="279">
        <f t="shared" si="69"/>
        <v>0</v>
      </c>
      <c r="AF70" s="232">
        <f t="shared" si="70"/>
        <v>0</v>
      </c>
      <c r="AG70" s="235">
        <f t="shared" si="71"/>
        <v>0</v>
      </c>
      <c r="AH70" s="269">
        <f t="shared" si="72"/>
        <v>0</v>
      </c>
      <c r="AI70" s="232">
        <f t="shared" si="73"/>
        <v>0</v>
      </c>
      <c r="AJ70" s="235">
        <f t="shared" si="74"/>
        <v>0</v>
      </c>
      <c r="AK70" s="269">
        <f t="shared" si="75"/>
        <v>0</v>
      </c>
      <c r="AL70" s="269">
        <f t="shared" si="27"/>
        <v>0</v>
      </c>
      <c r="AM70" s="281" t="e">
        <f>IF(B70&gt;=mpfo,pos*vvm*Dados!$E$122*(ntudv-SUM(U71:$U$301))-SUM($AM$13:AM69),0)</f>
        <v>#DIV/0!</v>
      </c>
      <c r="AN70" s="269" t="e">
        <f t="shared" si="76"/>
        <v>#DIV/0!</v>
      </c>
      <c r="AO70" s="232" t="e">
        <f t="shared" si="77"/>
        <v>#DIV/0!</v>
      </c>
      <c r="AP70" s="242" t="e">
        <f t="shared" si="78"/>
        <v>#DIV/0!</v>
      </c>
      <c r="AQ70" s="235" t="e">
        <f>IF(AP70+SUM($AQ$12:AQ69)&gt;=0,0,-AP70-SUM($AQ$12:AQ69))</f>
        <v>#DIV/0!</v>
      </c>
      <c r="AR70" s="235">
        <f>IF(SUM($N$13:N69)&gt;=pmo,IF(SUM(N69:$N$501)&gt;(1-pmo),B70,0),0)</f>
        <v>0</v>
      </c>
      <c r="AS70" s="235" t="e">
        <f>IF((SUM($U$13:$U69)/ntudv)&gt;=pmv,IF((SUM($U69:$U$501)/ntudv)&gt;(1-pmv),B70,0),0)</f>
        <v>#DIV/0!</v>
      </c>
      <c r="AT70" s="237" t="e">
        <f>IF(MAX(mmo,mmv)=mmo,IF(B70=AR70,(SUM(N$13:$N69)-pmo)/((1-VLOOKUP(MAX(mmo,mmv)-1,$B$13:$O$501,14))+(VLOOKUP(MAX(mmo,mmv)-1,$B$13:$O$501,14)-pmo)),N69/((1-VLOOKUP(MAX(mmo,mmv)-1,$B$13:$O$501,14)+(VLOOKUP(MAX(mmo,mmv)-1,$B$13:$O$501,14)-pmo)))),N69/(1-VLOOKUP(MAX(mmo,mmv)-2,$B$13:$O$501,14)))</f>
        <v>#DIV/0!</v>
      </c>
      <c r="AU70" s="101" t="e">
        <f t="shared" si="29"/>
        <v>#DIV/0!</v>
      </c>
      <c r="AV70" s="287" t="e">
        <f t="shared" si="30"/>
        <v>#DIV/0!</v>
      </c>
      <c r="AW70" s="235" t="e">
        <f t="shared" si="79"/>
        <v>#DIV/0!</v>
      </c>
      <c r="AX70" s="281">
        <f>IF(B70&gt;mpfo,0,IF(B70=mpfo,(vld-teo*(1+tcfo-incc)^(MAX(mmo,mmv)-mbfo))*-1,IF(SUM($N$13:N69)&gt;=pmo,IF(($V69/ntudv)&gt;=pmv,IF(B70=MAX(mmo,mmv),-teo*(1+tcfo-incc)^(B70-mbfo),0),0),0)))</f>
        <v>0</v>
      </c>
      <c r="AY70" s="292" t="e">
        <f t="shared" si="32"/>
        <v>#DIV/0!</v>
      </c>
      <c r="AZ70" s="235" t="e">
        <f t="shared" si="80"/>
        <v>#DIV/0!</v>
      </c>
      <c r="BA70" s="269" t="e">
        <f t="shared" si="81"/>
        <v>#DIV/0!</v>
      </c>
      <c r="BB70" s="292" t="e">
        <f t="shared" si="82"/>
        <v>#DIV/0!</v>
      </c>
      <c r="BC70" s="238" t="e">
        <f>IF(SUM($BC$13:BC69)&gt;0,0,IF(BB70&gt;0,B70,0))</f>
        <v>#DIV/0!</v>
      </c>
      <c r="BD70" s="292" t="e">
        <f>IF(BB70+SUM($BD$12:BD69)&gt;=0,0,-BB70-SUM($BD$12:BD69))</f>
        <v>#DIV/0!</v>
      </c>
      <c r="BE70" s="235" t="e">
        <f>BB70+SUM($BD$12:BD70)</f>
        <v>#DIV/0!</v>
      </c>
      <c r="BF70" s="292" t="e">
        <f>-MIN(BE70:$BE$501)-SUM(BF$12:$BF69)</f>
        <v>#DIV/0!</v>
      </c>
      <c r="BG70" s="235" t="e">
        <f t="shared" si="47"/>
        <v>#DIV/0!</v>
      </c>
    </row>
    <row r="71" spans="2:59">
      <c r="B71" s="120">
        <v>58</v>
      </c>
      <c r="C71" s="241">
        <f t="shared" si="43"/>
        <v>44444</v>
      </c>
      <c r="D71" s="229">
        <f t="shared" si="48"/>
        <v>9</v>
      </c>
      <c r="E71" s="230" t="str">
        <f t="shared" si="49"/>
        <v>-</v>
      </c>
      <c r="F71" s="231">
        <f t="shared" si="50"/>
        <v>0</v>
      </c>
      <c r="G71" s="231">
        <f t="shared" si="51"/>
        <v>0</v>
      </c>
      <c r="H71" s="231">
        <f t="shared" si="52"/>
        <v>0</v>
      </c>
      <c r="I71" s="268">
        <f t="shared" si="5"/>
        <v>0</v>
      </c>
      <c r="J71" s="269">
        <f t="shared" si="53"/>
        <v>0</v>
      </c>
      <c r="K71" s="269">
        <f t="shared" si="54"/>
        <v>0</v>
      </c>
      <c r="L71" s="269">
        <f t="shared" si="7"/>
        <v>0</v>
      </c>
      <c r="M71" s="269">
        <f t="shared" si="8"/>
        <v>0</v>
      </c>
      <c r="N71" s="233">
        <f>VLOOKUP(B71,Dados!$L$86:$P$90,5)</f>
        <v>0</v>
      </c>
      <c r="O71" s="270">
        <f t="shared" si="55"/>
        <v>0.99999999999999989</v>
      </c>
      <c r="P71" s="269">
        <f t="shared" si="56"/>
        <v>0</v>
      </c>
      <c r="Q71" s="269" t="e">
        <f t="shared" si="57"/>
        <v>#DIV/0!</v>
      </c>
      <c r="R71" s="269">
        <f t="shared" si="58"/>
        <v>0</v>
      </c>
      <c r="S71" s="269" t="e">
        <f t="shared" si="59"/>
        <v>#DIV/0!</v>
      </c>
      <c r="T71" s="269" t="e">
        <f t="shared" si="38"/>
        <v>#DIV/0!</v>
      </c>
      <c r="U71" s="234">
        <f t="shared" si="60"/>
        <v>0</v>
      </c>
      <c r="V71" s="232" t="e">
        <f t="shared" si="61"/>
        <v>#DIV/0!</v>
      </c>
      <c r="W71" s="269" t="e">
        <f t="shared" si="62"/>
        <v>#DIV/0!</v>
      </c>
      <c r="X71" s="235">
        <f t="shared" si="14"/>
        <v>0</v>
      </c>
      <c r="Y71" s="236">
        <f t="shared" si="63"/>
        <v>5</v>
      </c>
      <c r="Z71" s="236" t="e">
        <f t="shared" si="64"/>
        <v>#DIV/0!</v>
      </c>
      <c r="AA71" s="236">
        <f t="shared" si="65"/>
        <v>3</v>
      </c>
      <c r="AB71" s="236" t="e">
        <f t="shared" si="66"/>
        <v>#DIV/0!</v>
      </c>
      <c r="AC71" s="235">
        <f t="shared" si="67"/>
        <v>0</v>
      </c>
      <c r="AD71" s="235">
        <f t="shared" si="68"/>
        <v>0</v>
      </c>
      <c r="AE71" s="279">
        <f t="shared" si="69"/>
        <v>0</v>
      </c>
      <c r="AF71" s="232">
        <f t="shared" si="70"/>
        <v>0</v>
      </c>
      <c r="AG71" s="235">
        <f t="shared" si="71"/>
        <v>0</v>
      </c>
      <c r="AH71" s="269">
        <f t="shared" si="72"/>
        <v>0</v>
      </c>
      <c r="AI71" s="232">
        <f t="shared" si="73"/>
        <v>0</v>
      </c>
      <c r="AJ71" s="235">
        <f t="shared" si="74"/>
        <v>0</v>
      </c>
      <c r="AK71" s="269">
        <f t="shared" si="75"/>
        <v>0</v>
      </c>
      <c r="AL71" s="269">
        <f t="shared" si="27"/>
        <v>0</v>
      </c>
      <c r="AM71" s="281" t="e">
        <f>IF(B71&gt;=mpfo,pos*vvm*Dados!$E$122*(ntudv-SUM(U72:$U$301))-SUM($AM$13:AM70),0)</f>
        <v>#DIV/0!</v>
      </c>
      <c r="AN71" s="269" t="e">
        <f t="shared" si="76"/>
        <v>#DIV/0!</v>
      </c>
      <c r="AO71" s="232" t="e">
        <f t="shared" si="77"/>
        <v>#DIV/0!</v>
      </c>
      <c r="AP71" s="242" t="e">
        <f t="shared" si="78"/>
        <v>#DIV/0!</v>
      </c>
      <c r="AQ71" s="235" t="e">
        <f>IF(AP71+SUM($AQ$12:AQ70)&gt;=0,0,-AP71-SUM($AQ$12:AQ70))</f>
        <v>#DIV/0!</v>
      </c>
      <c r="AR71" s="235">
        <f>IF(SUM($N$13:N70)&gt;=pmo,IF(SUM(N70:$N$501)&gt;(1-pmo),B71,0),0)</f>
        <v>0</v>
      </c>
      <c r="AS71" s="235" t="e">
        <f>IF((SUM($U$13:$U70)/ntudv)&gt;=pmv,IF((SUM($U70:$U$501)/ntudv)&gt;(1-pmv),B71,0),0)</f>
        <v>#DIV/0!</v>
      </c>
      <c r="AT71" s="237" t="e">
        <f>IF(MAX(mmo,mmv)=mmo,IF(B71=AR71,(SUM(N$13:$N70)-pmo)/((1-VLOOKUP(MAX(mmo,mmv)-1,$B$13:$O$501,14))+(VLOOKUP(MAX(mmo,mmv)-1,$B$13:$O$501,14)-pmo)),N70/((1-VLOOKUP(MAX(mmo,mmv)-1,$B$13:$O$501,14)+(VLOOKUP(MAX(mmo,mmv)-1,$B$13:$O$501,14)-pmo)))),N70/(1-VLOOKUP(MAX(mmo,mmv)-2,$B$13:$O$501,14)))</f>
        <v>#DIV/0!</v>
      </c>
      <c r="AU71" s="101" t="e">
        <f t="shared" si="29"/>
        <v>#DIV/0!</v>
      </c>
      <c r="AV71" s="287" t="e">
        <f t="shared" si="30"/>
        <v>#DIV/0!</v>
      </c>
      <c r="AW71" s="235" t="e">
        <f t="shared" si="79"/>
        <v>#DIV/0!</v>
      </c>
      <c r="AX71" s="281">
        <f>IF(B71&gt;mpfo,0,IF(B71=mpfo,(vld-teo*(1+tcfo-incc)^(MAX(mmo,mmv)-mbfo))*-1,IF(SUM($N$13:N70)&gt;=pmo,IF(($V70/ntudv)&gt;=pmv,IF(B71=MAX(mmo,mmv),-teo*(1+tcfo-incc)^(B71-mbfo),0),0),0)))</f>
        <v>0</v>
      </c>
      <c r="AY71" s="292" t="e">
        <f t="shared" si="32"/>
        <v>#DIV/0!</v>
      </c>
      <c r="AZ71" s="235" t="e">
        <f t="shared" si="80"/>
        <v>#DIV/0!</v>
      </c>
      <c r="BA71" s="269" t="e">
        <f t="shared" si="81"/>
        <v>#DIV/0!</v>
      </c>
      <c r="BB71" s="292" t="e">
        <f t="shared" si="82"/>
        <v>#DIV/0!</v>
      </c>
      <c r="BC71" s="238" t="e">
        <f>IF(SUM($BC$13:BC70)&gt;0,0,IF(BB71&gt;0,B71,0))</f>
        <v>#DIV/0!</v>
      </c>
      <c r="BD71" s="292" t="e">
        <f>IF(BB71+SUM($BD$12:BD70)&gt;=0,0,-BB71-SUM($BD$12:BD70))</f>
        <v>#DIV/0!</v>
      </c>
      <c r="BE71" s="235" t="e">
        <f>BB71+SUM($BD$12:BD71)</f>
        <v>#DIV/0!</v>
      </c>
      <c r="BF71" s="292" t="e">
        <f>-MIN(BE71:$BE$501)-SUM(BF$12:$BF70)</f>
        <v>#DIV/0!</v>
      </c>
      <c r="BG71" s="235" t="e">
        <f t="shared" si="47"/>
        <v>#DIV/0!</v>
      </c>
    </row>
    <row r="72" spans="2:59">
      <c r="B72" s="246">
        <v>59</v>
      </c>
      <c r="C72" s="241">
        <f t="shared" si="43"/>
        <v>44474</v>
      </c>
      <c r="D72" s="229">
        <f t="shared" si="48"/>
        <v>10</v>
      </c>
      <c r="E72" s="230" t="str">
        <f t="shared" si="49"/>
        <v>-</v>
      </c>
      <c r="F72" s="231">
        <f t="shared" si="50"/>
        <v>0</v>
      </c>
      <c r="G72" s="231">
        <f t="shared" si="51"/>
        <v>0</v>
      </c>
      <c r="H72" s="231">
        <f t="shared" si="52"/>
        <v>0</v>
      </c>
      <c r="I72" s="268">
        <f t="shared" si="5"/>
        <v>0</v>
      </c>
      <c r="J72" s="269">
        <f t="shared" si="53"/>
        <v>0</v>
      </c>
      <c r="K72" s="269">
        <f t="shared" si="54"/>
        <v>0</v>
      </c>
      <c r="L72" s="269">
        <f t="shared" si="7"/>
        <v>0</v>
      </c>
      <c r="M72" s="269">
        <f t="shared" si="8"/>
        <v>0</v>
      </c>
      <c r="N72" s="233">
        <f>VLOOKUP(B72,Dados!$L$86:$P$90,5)</f>
        <v>0</v>
      </c>
      <c r="O72" s="270">
        <f t="shared" si="55"/>
        <v>0.99999999999999989</v>
      </c>
      <c r="P72" s="269">
        <f t="shared" si="56"/>
        <v>0</v>
      </c>
      <c r="Q72" s="269" t="e">
        <f t="shared" si="57"/>
        <v>#DIV/0!</v>
      </c>
      <c r="R72" s="269">
        <f t="shared" si="58"/>
        <v>0</v>
      </c>
      <c r="S72" s="269" t="e">
        <f t="shared" si="59"/>
        <v>#DIV/0!</v>
      </c>
      <c r="T72" s="269" t="e">
        <f t="shared" si="38"/>
        <v>#DIV/0!</v>
      </c>
      <c r="U72" s="234">
        <f t="shared" si="60"/>
        <v>0</v>
      </c>
      <c r="V72" s="232" t="e">
        <f t="shared" si="61"/>
        <v>#DIV/0!</v>
      </c>
      <c r="W72" s="269" t="e">
        <f t="shared" si="62"/>
        <v>#DIV/0!</v>
      </c>
      <c r="X72" s="235">
        <f t="shared" si="14"/>
        <v>0</v>
      </c>
      <c r="Y72" s="236">
        <f t="shared" si="63"/>
        <v>5</v>
      </c>
      <c r="Z72" s="236" t="e">
        <f t="shared" si="64"/>
        <v>#DIV/0!</v>
      </c>
      <c r="AA72" s="236">
        <f t="shared" si="65"/>
        <v>3</v>
      </c>
      <c r="AB72" s="236" t="e">
        <f t="shared" si="66"/>
        <v>#DIV/0!</v>
      </c>
      <c r="AC72" s="235">
        <f t="shared" si="67"/>
        <v>0</v>
      </c>
      <c r="AD72" s="235">
        <f t="shared" si="68"/>
        <v>0</v>
      </c>
      <c r="AE72" s="279">
        <f t="shared" si="69"/>
        <v>0</v>
      </c>
      <c r="AF72" s="232">
        <f t="shared" si="70"/>
        <v>0</v>
      </c>
      <c r="AG72" s="235">
        <f t="shared" si="71"/>
        <v>0</v>
      </c>
      <c r="AH72" s="269">
        <f t="shared" si="72"/>
        <v>0</v>
      </c>
      <c r="AI72" s="232">
        <f t="shared" si="73"/>
        <v>0</v>
      </c>
      <c r="AJ72" s="235">
        <f t="shared" si="74"/>
        <v>0</v>
      </c>
      <c r="AK72" s="269">
        <f t="shared" si="75"/>
        <v>0</v>
      </c>
      <c r="AL72" s="269">
        <f t="shared" si="27"/>
        <v>0</v>
      </c>
      <c r="AM72" s="281" t="e">
        <f>IF(B72&gt;=mpfo,pos*vvm*Dados!$E$122*(ntudv-SUM(U73:$U$301))-SUM($AM$13:AM71),0)</f>
        <v>#DIV/0!</v>
      </c>
      <c r="AN72" s="269" t="e">
        <f t="shared" si="76"/>
        <v>#DIV/0!</v>
      </c>
      <c r="AO72" s="232" t="e">
        <f t="shared" si="77"/>
        <v>#DIV/0!</v>
      </c>
      <c r="AP72" s="242" t="e">
        <f t="shared" si="78"/>
        <v>#DIV/0!</v>
      </c>
      <c r="AQ72" s="235" t="e">
        <f>IF(AP72+SUM($AQ$12:AQ71)&gt;=0,0,-AP72-SUM($AQ$12:AQ71))</f>
        <v>#DIV/0!</v>
      </c>
      <c r="AR72" s="235">
        <f>IF(SUM($N$13:N71)&gt;=pmo,IF(SUM(N71:$N$501)&gt;(1-pmo),B72,0),0)</f>
        <v>0</v>
      </c>
      <c r="AS72" s="235" t="e">
        <f>IF((SUM($U$13:$U71)/ntudv)&gt;=pmv,IF((SUM($U71:$U$501)/ntudv)&gt;(1-pmv),B72,0),0)</f>
        <v>#DIV/0!</v>
      </c>
      <c r="AT72" s="237" t="e">
        <f>IF(MAX(mmo,mmv)=mmo,IF(B72=AR72,(SUM(N$13:$N71)-pmo)/((1-VLOOKUP(MAX(mmo,mmv)-1,$B$13:$O$501,14))+(VLOOKUP(MAX(mmo,mmv)-1,$B$13:$O$501,14)-pmo)),N71/((1-VLOOKUP(MAX(mmo,mmv)-1,$B$13:$O$501,14)+(VLOOKUP(MAX(mmo,mmv)-1,$B$13:$O$501,14)-pmo)))),N71/(1-VLOOKUP(MAX(mmo,mmv)-2,$B$13:$O$501,14)))</f>
        <v>#DIV/0!</v>
      </c>
      <c r="AU72" s="101" t="e">
        <f t="shared" si="29"/>
        <v>#DIV/0!</v>
      </c>
      <c r="AV72" s="287" t="e">
        <f t="shared" si="30"/>
        <v>#DIV/0!</v>
      </c>
      <c r="AW72" s="235" t="e">
        <f t="shared" si="79"/>
        <v>#DIV/0!</v>
      </c>
      <c r="AX72" s="281">
        <f>IF(B72&gt;mpfo,0,IF(B72=mpfo,(vld-teo*(1+tcfo-incc)^(MAX(mmo,mmv)-mbfo))*-1,IF(SUM($N$13:N71)&gt;=pmo,IF(($V71/ntudv)&gt;=pmv,IF(B72=MAX(mmo,mmv),-teo*(1+tcfo-incc)^(B72-mbfo),0),0),0)))</f>
        <v>0</v>
      </c>
      <c r="AY72" s="292" t="e">
        <f t="shared" si="32"/>
        <v>#DIV/0!</v>
      </c>
      <c r="AZ72" s="235" t="e">
        <f t="shared" si="80"/>
        <v>#DIV/0!</v>
      </c>
      <c r="BA72" s="269" t="e">
        <f t="shared" si="81"/>
        <v>#DIV/0!</v>
      </c>
      <c r="BB72" s="292" t="e">
        <f t="shared" si="82"/>
        <v>#DIV/0!</v>
      </c>
      <c r="BC72" s="238" t="e">
        <f>IF(SUM($BC$13:BC71)&gt;0,0,IF(BB72&gt;0,B72,0))</f>
        <v>#DIV/0!</v>
      </c>
      <c r="BD72" s="292" t="e">
        <f>IF(BB72+SUM($BD$12:BD71)&gt;=0,0,-BB72-SUM($BD$12:BD71))</f>
        <v>#DIV/0!</v>
      </c>
      <c r="BE72" s="235" t="e">
        <f>BB72+SUM($BD$12:BD72)</f>
        <v>#DIV/0!</v>
      </c>
      <c r="BF72" s="292" t="e">
        <f>-MIN(BE72:$BE$501)-SUM(BF$12:$BF71)</f>
        <v>#DIV/0!</v>
      </c>
      <c r="BG72" s="235" t="e">
        <f t="shared" si="47"/>
        <v>#DIV/0!</v>
      </c>
    </row>
    <row r="73" spans="2:59">
      <c r="B73" s="120">
        <v>60</v>
      </c>
      <c r="C73" s="241">
        <f t="shared" si="43"/>
        <v>44505</v>
      </c>
      <c r="D73" s="229">
        <f t="shared" si="48"/>
        <v>11</v>
      </c>
      <c r="E73" s="230" t="str">
        <f t="shared" si="49"/>
        <v>-</v>
      </c>
      <c r="F73" s="231">
        <f t="shared" si="50"/>
        <v>0</v>
      </c>
      <c r="G73" s="231">
        <f t="shared" si="51"/>
        <v>0</v>
      </c>
      <c r="H73" s="231">
        <f t="shared" si="52"/>
        <v>0</v>
      </c>
      <c r="I73" s="268">
        <f t="shared" si="5"/>
        <v>0</v>
      </c>
      <c r="J73" s="269">
        <f t="shared" si="53"/>
        <v>0</v>
      </c>
      <c r="K73" s="269">
        <f t="shared" si="54"/>
        <v>0</v>
      </c>
      <c r="L73" s="269">
        <f t="shared" si="7"/>
        <v>0</v>
      </c>
      <c r="M73" s="269">
        <f t="shared" si="8"/>
        <v>0</v>
      </c>
      <c r="N73" s="233">
        <f>VLOOKUP(B73,Dados!$L$86:$P$90,5)</f>
        <v>0</v>
      </c>
      <c r="O73" s="270">
        <f t="shared" si="55"/>
        <v>0.99999999999999989</v>
      </c>
      <c r="P73" s="269">
        <f t="shared" si="56"/>
        <v>0</v>
      </c>
      <c r="Q73" s="269" t="e">
        <f t="shared" si="57"/>
        <v>#DIV/0!</v>
      </c>
      <c r="R73" s="269">
        <f t="shared" si="58"/>
        <v>0</v>
      </c>
      <c r="S73" s="269" t="e">
        <f t="shared" si="59"/>
        <v>#DIV/0!</v>
      </c>
      <c r="T73" s="269" t="e">
        <f t="shared" si="38"/>
        <v>#DIV/0!</v>
      </c>
      <c r="U73" s="234">
        <f t="shared" si="60"/>
        <v>0</v>
      </c>
      <c r="V73" s="232" t="e">
        <f t="shared" si="61"/>
        <v>#DIV/0!</v>
      </c>
      <c r="W73" s="269" t="e">
        <f t="shared" si="62"/>
        <v>#DIV/0!</v>
      </c>
      <c r="X73" s="235">
        <f t="shared" si="14"/>
        <v>0</v>
      </c>
      <c r="Y73" s="236">
        <f t="shared" si="63"/>
        <v>5</v>
      </c>
      <c r="Z73" s="236" t="e">
        <f t="shared" si="64"/>
        <v>#DIV/0!</v>
      </c>
      <c r="AA73" s="236">
        <f t="shared" si="65"/>
        <v>3</v>
      </c>
      <c r="AB73" s="236" t="e">
        <f t="shared" si="66"/>
        <v>#DIV/0!</v>
      </c>
      <c r="AC73" s="235">
        <f t="shared" si="67"/>
        <v>0</v>
      </c>
      <c r="AD73" s="235">
        <f t="shared" si="68"/>
        <v>0</v>
      </c>
      <c r="AE73" s="279">
        <f t="shared" si="69"/>
        <v>0</v>
      </c>
      <c r="AF73" s="232">
        <f t="shared" si="70"/>
        <v>0</v>
      </c>
      <c r="AG73" s="235">
        <f t="shared" si="71"/>
        <v>0</v>
      </c>
      <c r="AH73" s="269">
        <f t="shared" si="72"/>
        <v>0</v>
      </c>
      <c r="AI73" s="232">
        <f t="shared" si="73"/>
        <v>0</v>
      </c>
      <c r="AJ73" s="235">
        <f t="shared" si="74"/>
        <v>0</v>
      </c>
      <c r="AK73" s="269">
        <f t="shared" si="75"/>
        <v>0</v>
      </c>
      <c r="AL73" s="269">
        <f t="shared" si="27"/>
        <v>0</v>
      </c>
      <c r="AM73" s="281" t="e">
        <f>IF(B73&gt;=mpfo,pos*vvm*Dados!$E$122*(ntudv-SUM(U74:$U$301))-SUM($AM$13:AM72),0)</f>
        <v>#DIV/0!</v>
      </c>
      <c r="AN73" s="269" t="e">
        <f t="shared" si="76"/>
        <v>#DIV/0!</v>
      </c>
      <c r="AO73" s="232" t="e">
        <f t="shared" si="77"/>
        <v>#DIV/0!</v>
      </c>
      <c r="AP73" s="242" t="e">
        <f t="shared" si="78"/>
        <v>#DIV/0!</v>
      </c>
      <c r="AQ73" s="235" t="e">
        <f>IF(AP73+SUM($AQ$12:AQ72)&gt;=0,0,-AP73-SUM($AQ$12:AQ72))</f>
        <v>#DIV/0!</v>
      </c>
      <c r="AR73" s="235">
        <f>IF(SUM($N$13:N72)&gt;=pmo,IF(SUM(N72:$N$501)&gt;(1-pmo),B73,0),0)</f>
        <v>0</v>
      </c>
      <c r="AS73" s="235" t="e">
        <f>IF((SUM($U$13:$U72)/ntudv)&gt;=pmv,IF((SUM($U72:$U$501)/ntudv)&gt;(1-pmv),B73,0),0)</f>
        <v>#DIV/0!</v>
      </c>
      <c r="AT73" s="237" t="e">
        <f>IF(MAX(mmo,mmv)=mmo,IF(B73=AR73,(SUM(N$13:$N72)-pmo)/((1-VLOOKUP(MAX(mmo,mmv)-1,$B$13:$O$501,14))+(VLOOKUP(MAX(mmo,mmv)-1,$B$13:$O$501,14)-pmo)),N72/((1-VLOOKUP(MAX(mmo,mmv)-1,$B$13:$O$501,14)+(VLOOKUP(MAX(mmo,mmv)-1,$B$13:$O$501,14)-pmo)))),N72/(1-VLOOKUP(MAX(mmo,mmv)-2,$B$13:$O$501,14)))</f>
        <v>#DIV/0!</v>
      </c>
      <c r="AU73" s="101" t="e">
        <f t="shared" si="29"/>
        <v>#DIV/0!</v>
      </c>
      <c r="AV73" s="287" t="e">
        <f t="shared" si="30"/>
        <v>#DIV/0!</v>
      </c>
      <c r="AW73" s="235" t="e">
        <f t="shared" si="79"/>
        <v>#DIV/0!</v>
      </c>
      <c r="AX73" s="281">
        <f>IF(B73&gt;mpfo,0,IF(B73=mpfo,(vld-teo*(1+tcfo-incc)^(MAX(mmo,mmv)-mbfo))*-1,IF(SUM($N$13:N72)&gt;=pmo,IF(($V72/ntudv)&gt;=pmv,IF(B73=MAX(mmo,mmv),-teo*(1+tcfo-incc)^(B73-mbfo),0),0),0)))</f>
        <v>0</v>
      </c>
      <c r="AY73" s="292" t="e">
        <f t="shared" si="32"/>
        <v>#DIV/0!</v>
      </c>
      <c r="AZ73" s="235" t="e">
        <f t="shared" si="80"/>
        <v>#DIV/0!</v>
      </c>
      <c r="BA73" s="269" t="e">
        <f t="shared" si="81"/>
        <v>#DIV/0!</v>
      </c>
      <c r="BB73" s="292" t="e">
        <f t="shared" si="82"/>
        <v>#DIV/0!</v>
      </c>
      <c r="BC73" s="238" t="e">
        <f>IF(SUM($BC$13:BC72)&gt;0,0,IF(BB73&gt;0,B73,0))</f>
        <v>#DIV/0!</v>
      </c>
      <c r="BD73" s="292" t="e">
        <f>IF(BB73+SUM($BD$12:BD72)&gt;=0,0,-BB73-SUM($BD$12:BD72))</f>
        <v>#DIV/0!</v>
      </c>
      <c r="BE73" s="235" t="e">
        <f>BB73+SUM($BD$12:BD73)</f>
        <v>#DIV/0!</v>
      </c>
      <c r="BF73" s="292" t="e">
        <f>-MIN(BE73:$BE$501)-SUM(BF$12:$BF72)</f>
        <v>#DIV/0!</v>
      </c>
      <c r="BG73" s="235" t="e">
        <f t="shared" si="47"/>
        <v>#DIV/0!</v>
      </c>
    </row>
    <row r="74" spans="2:59">
      <c r="B74" s="246">
        <v>61</v>
      </c>
      <c r="C74" s="241">
        <f t="shared" si="43"/>
        <v>44535</v>
      </c>
      <c r="D74" s="229">
        <f t="shared" si="48"/>
        <v>12</v>
      </c>
      <c r="E74" s="230" t="str">
        <f t="shared" si="49"/>
        <v>-</v>
      </c>
      <c r="F74" s="231">
        <f t="shared" si="50"/>
        <v>0</v>
      </c>
      <c r="G74" s="231">
        <f t="shared" si="51"/>
        <v>0</v>
      </c>
      <c r="H74" s="231">
        <f t="shared" si="52"/>
        <v>0</v>
      </c>
      <c r="I74" s="268">
        <f t="shared" si="5"/>
        <v>0</v>
      </c>
      <c r="J74" s="269">
        <f t="shared" si="53"/>
        <v>0</v>
      </c>
      <c r="K74" s="269">
        <f t="shared" si="54"/>
        <v>0</v>
      </c>
      <c r="L74" s="269">
        <f t="shared" si="7"/>
        <v>0</v>
      </c>
      <c r="M74" s="269">
        <f t="shared" si="8"/>
        <v>0</v>
      </c>
      <c r="N74" s="233">
        <f>VLOOKUP(B74,Dados!$L$86:$P$90,5)</f>
        <v>0</v>
      </c>
      <c r="O74" s="270">
        <f t="shared" si="55"/>
        <v>0.99999999999999989</v>
      </c>
      <c r="P74" s="269">
        <f t="shared" si="56"/>
        <v>0</v>
      </c>
      <c r="Q74" s="269" t="e">
        <f t="shared" si="57"/>
        <v>#DIV/0!</v>
      </c>
      <c r="R74" s="269">
        <f t="shared" si="58"/>
        <v>0</v>
      </c>
      <c r="S74" s="269" t="e">
        <f t="shared" si="59"/>
        <v>#DIV/0!</v>
      </c>
      <c r="T74" s="269" t="e">
        <f t="shared" si="38"/>
        <v>#DIV/0!</v>
      </c>
      <c r="U74" s="234">
        <f t="shared" si="60"/>
        <v>0</v>
      </c>
      <c r="V74" s="232" t="e">
        <f t="shared" si="61"/>
        <v>#DIV/0!</v>
      </c>
      <c r="W74" s="269" t="e">
        <f t="shared" si="62"/>
        <v>#DIV/0!</v>
      </c>
      <c r="X74" s="235">
        <f t="shared" si="14"/>
        <v>0</v>
      </c>
      <c r="Y74" s="236">
        <f t="shared" si="63"/>
        <v>5</v>
      </c>
      <c r="Z74" s="236" t="e">
        <f t="shared" si="64"/>
        <v>#DIV/0!</v>
      </c>
      <c r="AA74" s="236">
        <f t="shared" si="65"/>
        <v>3</v>
      </c>
      <c r="AB74" s="236" t="e">
        <f t="shared" si="66"/>
        <v>#DIV/0!</v>
      </c>
      <c r="AC74" s="235">
        <f t="shared" si="67"/>
        <v>0</v>
      </c>
      <c r="AD74" s="235">
        <f t="shared" si="68"/>
        <v>0</v>
      </c>
      <c r="AE74" s="279">
        <f t="shared" si="69"/>
        <v>0</v>
      </c>
      <c r="AF74" s="232">
        <f t="shared" si="70"/>
        <v>1</v>
      </c>
      <c r="AG74" s="235">
        <f t="shared" si="71"/>
        <v>0</v>
      </c>
      <c r="AH74" s="269">
        <f t="shared" si="72"/>
        <v>0</v>
      </c>
      <c r="AI74" s="232">
        <f t="shared" si="73"/>
        <v>1</v>
      </c>
      <c r="AJ74" s="235">
        <f t="shared" si="74"/>
        <v>0</v>
      </c>
      <c r="AK74" s="269">
        <f t="shared" si="75"/>
        <v>0</v>
      </c>
      <c r="AL74" s="269">
        <f t="shared" si="27"/>
        <v>0</v>
      </c>
      <c r="AM74" s="281" t="e">
        <f>IF(B74&gt;=mpfo,pos*vvm*Dados!$E$122*(ntudv-SUM(U75:$U$301))-SUM($AM$13:AM73),0)</f>
        <v>#DIV/0!</v>
      </c>
      <c r="AN74" s="269" t="e">
        <f t="shared" si="76"/>
        <v>#DIV/0!</v>
      </c>
      <c r="AO74" s="232" t="e">
        <f t="shared" si="77"/>
        <v>#DIV/0!</v>
      </c>
      <c r="AP74" s="242" t="e">
        <f t="shared" si="78"/>
        <v>#DIV/0!</v>
      </c>
      <c r="AQ74" s="235" t="e">
        <f>IF(AP74+SUM($AQ$12:AQ73)&gt;=0,0,-AP74-SUM($AQ$12:AQ73))</f>
        <v>#DIV/0!</v>
      </c>
      <c r="AR74" s="235">
        <f>IF(SUM($N$13:N73)&gt;=pmo,IF(SUM(N73:$N$501)&gt;(1-pmo),B74,0),0)</f>
        <v>0</v>
      </c>
      <c r="AS74" s="235" t="e">
        <f>IF((SUM($U$13:$U73)/ntudv)&gt;=pmv,IF((SUM($U73:$U$501)/ntudv)&gt;(1-pmv),B74,0),0)</f>
        <v>#DIV/0!</v>
      </c>
      <c r="AT74" s="237" t="e">
        <f>IF(MAX(mmo,mmv)=mmo,IF(B74=AR74,(SUM(N$13:$N73)-pmo)/((1-VLOOKUP(MAX(mmo,mmv)-1,$B$13:$O$501,14))+(VLOOKUP(MAX(mmo,mmv)-1,$B$13:$O$501,14)-pmo)),N73/((1-VLOOKUP(MAX(mmo,mmv)-1,$B$13:$O$501,14)+(VLOOKUP(MAX(mmo,mmv)-1,$B$13:$O$501,14)-pmo)))),N73/(1-VLOOKUP(MAX(mmo,mmv)-2,$B$13:$O$501,14)))</f>
        <v>#DIV/0!</v>
      </c>
      <c r="AU74" s="101" t="e">
        <f t="shared" si="29"/>
        <v>#DIV/0!</v>
      </c>
      <c r="AV74" s="287" t="e">
        <f t="shared" si="30"/>
        <v>#DIV/0!</v>
      </c>
      <c r="AW74" s="235" t="e">
        <f t="shared" si="79"/>
        <v>#DIV/0!</v>
      </c>
      <c r="AX74" s="281">
        <f>IF(B74&gt;mpfo,0,IF(B74=mpfo,(vld-teo*(1+tcfo-incc)^(MAX(mmo,mmv)-mbfo))*-1,IF(SUM($N$13:N73)&gt;=pmo,IF(($V73/ntudv)&gt;=pmv,IF(B74=MAX(mmo,mmv),-teo*(1+tcfo-incc)^(B74-mbfo),0),0),0)))</f>
        <v>0</v>
      </c>
      <c r="AY74" s="292" t="e">
        <f t="shared" si="32"/>
        <v>#DIV/0!</v>
      </c>
      <c r="AZ74" s="235" t="e">
        <f t="shared" si="80"/>
        <v>#DIV/0!</v>
      </c>
      <c r="BA74" s="269" t="e">
        <f t="shared" si="81"/>
        <v>#DIV/0!</v>
      </c>
      <c r="BB74" s="292" t="e">
        <f t="shared" si="82"/>
        <v>#DIV/0!</v>
      </c>
      <c r="BC74" s="238" t="e">
        <f>IF(SUM($BC$13:BC73)&gt;0,0,IF(BB74&gt;0,B74,0))</f>
        <v>#DIV/0!</v>
      </c>
      <c r="BD74" s="292" t="e">
        <f>IF(BB74+SUM($BD$12:BD73)&gt;=0,0,-BB74-SUM($BD$12:BD73))</f>
        <v>#DIV/0!</v>
      </c>
      <c r="BE74" s="235" t="e">
        <f>BB74+SUM($BD$12:BD74)</f>
        <v>#DIV/0!</v>
      </c>
      <c r="BF74" s="292" t="e">
        <f>-MIN(BE74:$BE$501)-SUM(BF$12:$BF73)</f>
        <v>#DIV/0!</v>
      </c>
      <c r="BG74" s="235" t="e">
        <f t="shared" si="47"/>
        <v>#DIV/0!</v>
      </c>
    </row>
    <row r="75" spans="2:59">
      <c r="B75" s="120">
        <v>62</v>
      </c>
      <c r="C75" s="241">
        <f t="shared" si="43"/>
        <v>44566</v>
      </c>
      <c r="D75" s="229">
        <f t="shared" si="48"/>
        <v>1</v>
      </c>
      <c r="E75" s="230" t="str">
        <f t="shared" si="49"/>
        <v>-</v>
      </c>
      <c r="F75" s="231">
        <f t="shared" si="50"/>
        <v>0</v>
      </c>
      <c r="G75" s="231">
        <f t="shared" si="51"/>
        <v>0</v>
      </c>
      <c r="H75" s="231">
        <f t="shared" si="52"/>
        <v>0</v>
      </c>
      <c r="I75" s="268">
        <f t="shared" si="5"/>
        <v>0</v>
      </c>
      <c r="J75" s="269">
        <f t="shared" si="53"/>
        <v>0</v>
      </c>
      <c r="K75" s="269">
        <f t="shared" si="54"/>
        <v>0</v>
      </c>
      <c r="L75" s="269">
        <f t="shared" si="7"/>
        <v>0</v>
      </c>
      <c r="M75" s="269">
        <f t="shared" si="8"/>
        <v>0</v>
      </c>
      <c r="N75" s="233">
        <f>VLOOKUP(B75,Dados!$L$86:$P$90,5)</f>
        <v>0</v>
      </c>
      <c r="O75" s="270">
        <f t="shared" si="55"/>
        <v>0.99999999999999989</v>
      </c>
      <c r="P75" s="269">
        <f t="shared" si="56"/>
        <v>0</v>
      </c>
      <c r="Q75" s="269" t="e">
        <f t="shared" si="57"/>
        <v>#DIV/0!</v>
      </c>
      <c r="R75" s="269">
        <f t="shared" si="58"/>
        <v>0</v>
      </c>
      <c r="S75" s="269" t="e">
        <f t="shared" si="59"/>
        <v>#DIV/0!</v>
      </c>
      <c r="T75" s="269" t="e">
        <f t="shared" si="38"/>
        <v>#DIV/0!</v>
      </c>
      <c r="U75" s="234">
        <f t="shared" si="60"/>
        <v>0</v>
      </c>
      <c r="V75" s="232" t="e">
        <f t="shared" si="61"/>
        <v>#DIV/0!</v>
      </c>
      <c r="W75" s="269" t="e">
        <f t="shared" si="62"/>
        <v>#DIV/0!</v>
      </c>
      <c r="X75" s="235">
        <f t="shared" si="14"/>
        <v>0</v>
      </c>
      <c r="Y75" s="236">
        <f t="shared" si="63"/>
        <v>5</v>
      </c>
      <c r="Z75" s="236" t="e">
        <f t="shared" si="64"/>
        <v>#DIV/0!</v>
      </c>
      <c r="AA75" s="236">
        <f t="shared" si="65"/>
        <v>3</v>
      </c>
      <c r="AB75" s="236" t="e">
        <f t="shared" si="66"/>
        <v>#DIV/0!</v>
      </c>
      <c r="AC75" s="235">
        <f t="shared" si="67"/>
        <v>0</v>
      </c>
      <c r="AD75" s="235">
        <f t="shared" si="68"/>
        <v>0</v>
      </c>
      <c r="AE75" s="279">
        <f t="shared" si="69"/>
        <v>0</v>
      </c>
      <c r="AF75" s="232">
        <f t="shared" si="70"/>
        <v>0</v>
      </c>
      <c r="AG75" s="235">
        <f t="shared" si="71"/>
        <v>0</v>
      </c>
      <c r="AH75" s="269">
        <f t="shared" si="72"/>
        <v>0</v>
      </c>
      <c r="AI75" s="232">
        <f t="shared" si="73"/>
        <v>0</v>
      </c>
      <c r="AJ75" s="235">
        <f t="shared" si="74"/>
        <v>0</v>
      </c>
      <c r="AK75" s="269">
        <f t="shared" si="75"/>
        <v>0</v>
      </c>
      <c r="AL75" s="269">
        <f t="shared" si="27"/>
        <v>0</v>
      </c>
      <c r="AM75" s="281" t="e">
        <f>IF(B75&gt;=mpfo,pos*vvm*Dados!$E$122*(ntudv-SUM(U76:$U$301))-SUM($AM$13:AM74),0)</f>
        <v>#DIV/0!</v>
      </c>
      <c r="AN75" s="269" t="e">
        <f t="shared" si="76"/>
        <v>#DIV/0!</v>
      </c>
      <c r="AO75" s="232" t="e">
        <f t="shared" si="77"/>
        <v>#DIV/0!</v>
      </c>
      <c r="AP75" s="242" t="e">
        <f t="shared" si="78"/>
        <v>#DIV/0!</v>
      </c>
      <c r="AQ75" s="235" t="e">
        <f>IF(AP75+SUM($AQ$12:AQ74)&gt;=0,0,-AP75-SUM($AQ$12:AQ74))</f>
        <v>#DIV/0!</v>
      </c>
      <c r="AR75" s="235">
        <f>IF(SUM($N$13:N74)&gt;=pmo,IF(SUM(N74:$N$501)&gt;(1-pmo),B75,0),0)</f>
        <v>0</v>
      </c>
      <c r="AS75" s="235" t="e">
        <f>IF((SUM($U$13:$U74)/ntudv)&gt;=pmv,IF((SUM($U74:$U$501)/ntudv)&gt;(1-pmv),B75,0),0)</f>
        <v>#DIV/0!</v>
      </c>
      <c r="AT75" s="237" t="e">
        <f>IF(MAX(mmo,mmv)=mmo,IF(B75=AR75,(SUM(N$13:$N74)-pmo)/((1-VLOOKUP(MAX(mmo,mmv)-1,$B$13:$O$501,14))+(VLOOKUP(MAX(mmo,mmv)-1,$B$13:$O$501,14)-pmo)),N74/((1-VLOOKUP(MAX(mmo,mmv)-1,$B$13:$O$501,14)+(VLOOKUP(MAX(mmo,mmv)-1,$B$13:$O$501,14)-pmo)))),N74/(1-VLOOKUP(MAX(mmo,mmv)-2,$B$13:$O$501,14)))</f>
        <v>#DIV/0!</v>
      </c>
      <c r="AU75" s="101" t="e">
        <f t="shared" si="29"/>
        <v>#DIV/0!</v>
      </c>
      <c r="AV75" s="287" t="e">
        <f t="shared" si="30"/>
        <v>#DIV/0!</v>
      </c>
      <c r="AW75" s="235" t="e">
        <f t="shared" si="79"/>
        <v>#DIV/0!</v>
      </c>
      <c r="AX75" s="281">
        <f>IF(B75&gt;mpfo,0,IF(B75=mpfo,(vld-teo*(1+tcfo-incc)^(MAX(mmo,mmv)-mbfo))*-1,IF(SUM($N$13:N74)&gt;=pmo,IF(($V74/ntudv)&gt;=pmv,IF(B75=MAX(mmo,mmv),-teo*(1+tcfo-incc)^(B75-mbfo),0),0),0)))</f>
        <v>0</v>
      </c>
      <c r="AY75" s="292" t="e">
        <f t="shared" si="32"/>
        <v>#DIV/0!</v>
      </c>
      <c r="AZ75" s="235" t="e">
        <f t="shared" si="80"/>
        <v>#DIV/0!</v>
      </c>
      <c r="BA75" s="269" t="e">
        <f t="shared" si="81"/>
        <v>#DIV/0!</v>
      </c>
      <c r="BB75" s="292" t="e">
        <f t="shared" si="82"/>
        <v>#DIV/0!</v>
      </c>
      <c r="BC75" s="238" t="e">
        <f>IF(SUM($BC$13:BC74)&gt;0,0,IF(BB75&gt;0,B75,0))</f>
        <v>#DIV/0!</v>
      </c>
      <c r="BD75" s="292" t="e">
        <f>IF(BB75+SUM($BD$12:BD74)&gt;=0,0,-BB75-SUM($BD$12:BD74))</f>
        <v>#DIV/0!</v>
      </c>
      <c r="BE75" s="235" t="e">
        <f>BB75+SUM($BD$12:BD75)</f>
        <v>#DIV/0!</v>
      </c>
      <c r="BF75" s="292" t="e">
        <f>-MIN(BE75:$BE$501)-SUM(BF$12:$BF74)</f>
        <v>#DIV/0!</v>
      </c>
      <c r="BG75" s="235" t="e">
        <f t="shared" si="47"/>
        <v>#DIV/0!</v>
      </c>
    </row>
    <row r="76" spans="2:59">
      <c r="B76" s="246">
        <v>63</v>
      </c>
      <c r="C76" s="241">
        <f t="shared" si="43"/>
        <v>44597</v>
      </c>
      <c r="D76" s="229">
        <f t="shared" si="48"/>
        <v>2</v>
      </c>
      <c r="E76" s="230" t="str">
        <f t="shared" si="49"/>
        <v>-</v>
      </c>
      <c r="F76" s="231">
        <f t="shared" si="50"/>
        <v>0</v>
      </c>
      <c r="G76" s="231">
        <f t="shared" si="51"/>
        <v>0</v>
      </c>
      <c r="H76" s="231">
        <f t="shared" si="52"/>
        <v>0</v>
      </c>
      <c r="I76" s="268">
        <f t="shared" si="5"/>
        <v>0</v>
      </c>
      <c r="J76" s="269">
        <f t="shared" si="53"/>
        <v>0</v>
      </c>
      <c r="K76" s="269">
        <f t="shared" si="54"/>
        <v>0</v>
      </c>
      <c r="L76" s="269">
        <f t="shared" si="7"/>
        <v>0</v>
      </c>
      <c r="M76" s="269">
        <f t="shared" si="8"/>
        <v>0</v>
      </c>
      <c r="N76" s="233">
        <f>VLOOKUP(B76,Dados!$L$86:$P$90,5)</f>
        <v>0</v>
      </c>
      <c r="O76" s="270">
        <f t="shared" si="55"/>
        <v>0.99999999999999989</v>
      </c>
      <c r="P76" s="269">
        <f t="shared" si="56"/>
        <v>0</v>
      </c>
      <c r="Q76" s="269" t="e">
        <f t="shared" si="57"/>
        <v>#DIV/0!</v>
      </c>
      <c r="R76" s="269">
        <f t="shared" si="58"/>
        <v>0</v>
      </c>
      <c r="S76" s="269" t="e">
        <f t="shared" si="59"/>
        <v>#DIV/0!</v>
      </c>
      <c r="T76" s="269" t="e">
        <f t="shared" si="38"/>
        <v>#DIV/0!</v>
      </c>
      <c r="U76" s="234">
        <f t="shared" si="60"/>
        <v>0</v>
      </c>
      <c r="V76" s="232" t="e">
        <f t="shared" si="61"/>
        <v>#DIV/0!</v>
      </c>
      <c r="W76" s="269" t="e">
        <f t="shared" si="62"/>
        <v>#DIV/0!</v>
      </c>
      <c r="X76" s="235">
        <f t="shared" si="14"/>
        <v>0</v>
      </c>
      <c r="Y76" s="236">
        <f t="shared" si="63"/>
        <v>5</v>
      </c>
      <c r="Z76" s="236" t="e">
        <f t="shared" si="64"/>
        <v>#DIV/0!</v>
      </c>
      <c r="AA76" s="236">
        <f t="shared" si="65"/>
        <v>3</v>
      </c>
      <c r="AB76" s="236" t="e">
        <f t="shared" si="66"/>
        <v>#DIV/0!</v>
      </c>
      <c r="AC76" s="235">
        <f t="shared" si="67"/>
        <v>0</v>
      </c>
      <c r="AD76" s="235">
        <f t="shared" si="68"/>
        <v>0</v>
      </c>
      <c r="AE76" s="279">
        <f t="shared" si="69"/>
        <v>0</v>
      </c>
      <c r="AF76" s="232">
        <f t="shared" si="70"/>
        <v>0</v>
      </c>
      <c r="AG76" s="235">
        <f t="shared" si="71"/>
        <v>0</v>
      </c>
      <c r="AH76" s="269">
        <f t="shared" si="72"/>
        <v>0</v>
      </c>
      <c r="AI76" s="232">
        <f t="shared" si="73"/>
        <v>0</v>
      </c>
      <c r="AJ76" s="235">
        <f t="shared" si="74"/>
        <v>0</v>
      </c>
      <c r="AK76" s="269">
        <f t="shared" si="75"/>
        <v>0</v>
      </c>
      <c r="AL76" s="269">
        <f t="shared" si="27"/>
        <v>0</v>
      </c>
      <c r="AM76" s="281" t="e">
        <f>IF(B76&gt;=mpfo,pos*vvm*Dados!$E$122*(ntudv-SUM(U77:$U$301))-SUM($AM$13:AM75),0)</f>
        <v>#DIV/0!</v>
      </c>
      <c r="AN76" s="269" t="e">
        <f t="shared" si="76"/>
        <v>#DIV/0!</v>
      </c>
      <c r="AO76" s="232" t="e">
        <f t="shared" si="77"/>
        <v>#DIV/0!</v>
      </c>
      <c r="AP76" s="242" t="e">
        <f t="shared" si="78"/>
        <v>#DIV/0!</v>
      </c>
      <c r="AQ76" s="235" t="e">
        <f>IF(AP76+SUM($AQ$12:AQ75)&gt;=0,0,-AP76-SUM($AQ$12:AQ75))</f>
        <v>#DIV/0!</v>
      </c>
      <c r="AR76" s="235">
        <f>IF(SUM($N$13:N75)&gt;=pmo,IF(SUM(N75:$N$501)&gt;(1-pmo),B76,0),0)</f>
        <v>0</v>
      </c>
      <c r="AS76" s="235" t="e">
        <f>IF((SUM($U$13:$U75)/ntudv)&gt;=pmv,IF((SUM($U75:$U$501)/ntudv)&gt;(1-pmv),B76,0),0)</f>
        <v>#DIV/0!</v>
      </c>
      <c r="AT76" s="237" t="e">
        <f>IF(MAX(mmo,mmv)=mmo,IF(B76=AR76,(SUM(N$13:$N75)-pmo)/((1-VLOOKUP(MAX(mmo,mmv)-1,$B$13:$O$501,14))+(VLOOKUP(MAX(mmo,mmv)-1,$B$13:$O$501,14)-pmo)),N75/((1-VLOOKUP(MAX(mmo,mmv)-1,$B$13:$O$501,14)+(VLOOKUP(MAX(mmo,mmv)-1,$B$13:$O$501,14)-pmo)))),N75/(1-VLOOKUP(MAX(mmo,mmv)-2,$B$13:$O$501,14)))</f>
        <v>#DIV/0!</v>
      </c>
      <c r="AU76" s="101" t="e">
        <f t="shared" si="29"/>
        <v>#DIV/0!</v>
      </c>
      <c r="AV76" s="287" t="e">
        <f t="shared" si="30"/>
        <v>#DIV/0!</v>
      </c>
      <c r="AW76" s="235" t="e">
        <f t="shared" si="79"/>
        <v>#DIV/0!</v>
      </c>
      <c r="AX76" s="281">
        <f>IF(B76&gt;mpfo,0,IF(B76=mpfo,(vld-teo*(1+tcfo-incc)^(MAX(mmo,mmv)-mbfo))*-1,IF(SUM($N$13:N75)&gt;=pmo,IF(($V75/ntudv)&gt;=pmv,IF(B76=MAX(mmo,mmv),-teo*(1+tcfo-incc)^(B76-mbfo),0),0),0)))</f>
        <v>0</v>
      </c>
      <c r="AY76" s="292" t="e">
        <f t="shared" si="32"/>
        <v>#DIV/0!</v>
      </c>
      <c r="AZ76" s="235" t="e">
        <f t="shared" si="80"/>
        <v>#DIV/0!</v>
      </c>
      <c r="BA76" s="269" t="e">
        <f t="shared" si="81"/>
        <v>#DIV/0!</v>
      </c>
      <c r="BB76" s="292" t="e">
        <f t="shared" si="82"/>
        <v>#DIV/0!</v>
      </c>
      <c r="BC76" s="238" t="e">
        <f>IF(SUM($BC$13:BC75)&gt;0,0,IF(BB76&gt;0,B76,0))</f>
        <v>#DIV/0!</v>
      </c>
      <c r="BD76" s="292" t="e">
        <f>IF(BB76+SUM($BD$12:BD75)&gt;=0,0,-BB76-SUM($BD$12:BD75))</f>
        <v>#DIV/0!</v>
      </c>
      <c r="BE76" s="235" t="e">
        <f>BB76+SUM($BD$12:BD76)</f>
        <v>#DIV/0!</v>
      </c>
      <c r="BF76" s="292" t="e">
        <f>-MIN(BE76:$BE$501)-SUM(BF$12:$BF75)</f>
        <v>#DIV/0!</v>
      </c>
      <c r="BG76" s="235" t="e">
        <f t="shared" si="47"/>
        <v>#DIV/0!</v>
      </c>
    </row>
    <row r="77" spans="2:59">
      <c r="B77" s="120">
        <v>64</v>
      </c>
      <c r="C77" s="241">
        <f t="shared" si="43"/>
        <v>44625</v>
      </c>
      <c r="D77" s="229">
        <f t="shared" si="48"/>
        <v>3</v>
      </c>
      <c r="E77" s="230" t="str">
        <f t="shared" si="49"/>
        <v>-</v>
      </c>
      <c r="F77" s="231">
        <f t="shared" si="50"/>
        <v>0</v>
      </c>
      <c r="G77" s="231">
        <f t="shared" si="51"/>
        <v>0</v>
      </c>
      <c r="H77" s="231">
        <f t="shared" si="52"/>
        <v>0</v>
      </c>
      <c r="I77" s="268">
        <f t="shared" ref="I77:I140" si="83">IF(cmt="SC",G77,IF(cmt="INCC",H77,IF(B77&gt;(mpt+npt),0,IF(B77&lt;(mpt+npt+1),IF(B77&gt;mpt,(vtd-vst)/npt,IF(B77=mpt,vst,0))))))*-1-F77+J77</f>
        <v>0</v>
      </c>
      <c r="J77" s="269">
        <f t="shared" si="53"/>
        <v>0</v>
      </c>
      <c r="K77" s="269">
        <f t="shared" si="54"/>
        <v>0</v>
      </c>
      <c r="L77" s="269">
        <f t="shared" ref="L77:L140" si="84">IF($B77&gt;mppe+npppe,0,IF($B77&lt;mppe+npppe,IF($B77&gt;=mppe,ppe*vgv/npppe,0),0))*-1</f>
        <v>0</v>
      </c>
      <c r="M77" s="269">
        <f t="shared" ref="M77:M140" si="85">IF($B77&gt;mppm+npppm,0,IF($B77&lt;mppm+npppm,IF($B77&gt;=mppm,ppm*vgv/npppm,0),0))*-1</f>
        <v>0</v>
      </c>
      <c r="N77" s="233">
        <f>VLOOKUP(B77,Dados!$L$86:$P$90,5)</f>
        <v>0</v>
      </c>
      <c r="O77" s="270">
        <f t="shared" si="55"/>
        <v>0.99999999999999989</v>
      </c>
      <c r="P77" s="269">
        <f t="shared" si="56"/>
        <v>0</v>
      </c>
      <c r="Q77" s="269" t="e">
        <f t="shared" si="57"/>
        <v>#DIV/0!</v>
      </c>
      <c r="R77" s="269">
        <f t="shared" si="58"/>
        <v>0</v>
      </c>
      <c r="S77" s="269" t="e">
        <f t="shared" si="59"/>
        <v>#DIV/0!</v>
      </c>
      <c r="T77" s="269" t="e">
        <f t="shared" si="38"/>
        <v>#DIV/0!</v>
      </c>
      <c r="U77" s="234">
        <f t="shared" si="60"/>
        <v>0</v>
      </c>
      <c r="V77" s="232" t="e">
        <f t="shared" si="61"/>
        <v>#DIV/0!</v>
      </c>
      <c r="W77" s="269" t="e">
        <f t="shared" si="62"/>
        <v>#DIV/0!</v>
      </c>
      <c r="X77" s="235">
        <f t="shared" ref="X77:X140" si="86">IF(B77-mlan&lt;0,0,IF(U77=0,0,IF(B77-mlan&gt;npm,vtpm*U77,(B77-mlan)*vvm*mdo/npm*U77)))</f>
        <v>0</v>
      </c>
      <c r="Y77" s="236">
        <f t="shared" si="63"/>
        <v>5</v>
      </c>
      <c r="Z77" s="236" t="e">
        <f t="shared" si="64"/>
        <v>#DIV/0!</v>
      </c>
      <c r="AA77" s="236">
        <f t="shared" si="65"/>
        <v>3</v>
      </c>
      <c r="AB77" s="236" t="e">
        <f t="shared" si="66"/>
        <v>#DIV/0!</v>
      </c>
      <c r="AC77" s="235">
        <f t="shared" si="67"/>
        <v>0</v>
      </c>
      <c r="AD77" s="235">
        <f t="shared" si="68"/>
        <v>0</v>
      </c>
      <c r="AE77" s="279">
        <f t="shared" si="69"/>
        <v>0</v>
      </c>
      <c r="AF77" s="232">
        <f t="shared" si="70"/>
        <v>0</v>
      </c>
      <c r="AG77" s="235">
        <f t="shared" si="71"/>
        <v>0</v>
      </c>
      <c r="AH77" s="269">
        <f t="shared" si="72"/>
        <v>0</v>
      </c>
      <c r="AI77" s="232">
        <f t="shared" si="73"/>
        <v>0</v>
      </c>
      <c r="AJ77" s="235">
        <f t="shared" si="74"/>
        <v>0</v>
      </c>
      <c r="AK77" s="269">
        <f t="shared" si="75"/>
        <v>0</v>
      </c>
      <c r="AL77" s="269">
        <f t="shared" ref="AL77:AL140" si="87">IF(B77=mec,cha*ntudv*vvm,0)</f>
        <v>0</v>
      </c>
      <c r="AM77" s="281" t="e">
        <f>IF(B77&gt;=mpfo,pos*vvm*Dados!$E$122*(ntudv-SUM(U78:$U$301))-SUM($AM$13:AM76),0)</f>
        <v>#DIV/0!</v>
      </c>
      <c r="AN77" s="269" t="e">
        <f t="shared" si="76"/>
        <v>#DIV/0!</v>
      </c>
      <c r="AO77" s="232" t="e">
        <f t="shared" si="77"/>
        <v>#DIV/0!</v>
      </c>
      <c r="AP77" s="242" t="e">
        <f t="shared" si="78"/>
        <v>#DIV/0!</v>
      </c>
      <c r="AQ77" s="235" t="e">
        <f>IF(AP77+SUM($AQ$12:AQ76)&gt;=0,0,-AP77-SUM($AQ$12:AQ76))</f>
        <v>#DIV/0!</v>
      </c>
      <c r="AR77" s="235">
        <f>IF(SUM($N$13:N76)&gt;=pmo,IF(SUM(N76:$N$501)&gt;(1-pmo),B77,0),0)</f>
        <v>0</v>
      </c>
      <c r="AS77" s="235" t="e">
        <f>IF((SUM($U$13:$U76)/ntudv)&gt;=pmv,IF((SUM($U76:$U$501)/ntudv)&gt;(1-pmv),B77,0),0)</f>
        <v>#DIV/0!</v>
      </c>
      <c r="AT77" s="237" t="e">
        <f>IF(MAX(mmo,mmv)=mmo,IF(B77=AR77,(SUM(N$13:$N76)-pmo)/((1-VLOOKUP(MAX(mmo,mmv)-1,$B$13:$O$501,14))+(VLOOKUP(MAX(mmo,mmv)-1,$B$13:$O$501,14)-pmo)),N76/((1-VLOOKUP(MAX(mmo,mmv)-1,$B$13:$O$501,14)+(VLOOKUP(MAX(mmo,mmv)-1,$B$13:$O$501,14)-pmo)))),N76/(1-VLOOKUP(MAX(mmo,mmv)-2,$B$13:$O$501,14)))</f>
        <v>#DIV/0!</v>
      </c>
      <c r="AU77" s="101" t="e">
        <f t="shared" ref="AU77:AU140" si="88">IF(B77=MAX(mmo,mmv),teo,0)*(1+tcfo-incc)^(B77-mbfo)</f>
        <v>#DIV/0!</v>
      </c>
      <c r="AV77" s="287" t="e">
        <f t="shared" ref="AV77:AV140" si="89">IF(B77&gt;=MAX(mmo,mmv),IF(B77&lt;(mco+2),(vfo-teo)*AT77,0),0)*(1+tcfo-incc)^(B77-mbfo)+AU77</f>
        <v>#DIV/0!</v>
      </c>
      <c r="AW77" s="235" t="e">
        <f t="shared" si="79"/>
        <v>#DIV/0!</v>
      </c>
      <c r="AX77" s="281">
        <f>IF(B77&gt;mpfo,0,IF(B77=mpfo,(vld-teo*(1+tcfo-incc)^(MAX(mmo,mmv)-mbfo))*-1,IF(SUM($N$13:N76)&gt;=pmo,IF(($V76/ntudv)&gt;=pmv,IF(B77=MAX(mmo,mmv),-teo*(1+tcfo-incc)^(B77-mbfo),0),0),0)))</f>
        <v>0</v>
      </c>
      <c r="AY77" s="292" t="e">
        <f t="shared" ref="AY77:AY140" si="90">IF(IF(cjfo="M",(AZ76)*jfo,IF(B77=mpfo,AW77+AX77,0))*-1&gt;0,0,IF(cjfo="M",(AZ76)*jfo,IF(B77=mpfo,AW77+AX77,0))*-1)</f>
        <v>#DIV/0!</v>
      </c>
      <c r="AZ77" s="235" t="e">
        <f t="shared" si="80"/>
        <v>#DIV/0!</v>
      </c>
      <c r="BA77" s="269" t="e">
        <f t="shared" si="81"/>
        <v>#DIV/0!</v>
      </c>
      <c r="BB77" s="292" t="e">
        <f t="shared" si="82"/>
        <v>#DIV/0!</v>
      </c>
      <c r="BC77" s="238" t="e">
        <f>IF(SUM($BC$13:BC76)&gt;0,0,IF(BB77&gt;0,B77,0))</f>
        <v>#DIV/0!</v>
      </c>
      <c r="BD77" s="292" t="e">
        <f>IF(BB77+SUM($BD$12:BD76)&gt;=0,0,-BB77-SUM($BD$12:BD76))</f>
        <v>#DIV/0!</v>
      </c>
      <c r="BE77" s="235" t="e">
        <f>BB77+SUM($BD$12:BD77)</f>
        <v>#DIV/0!</v>
      </c>
      <c r="BF77" s="292" t="e">
        <f>-MIN(BE77:$BE$501)-SUM(BF$12:$BF76)</f>
        <v>#DIV/0!</v>
      </c>
      <c r="BG77" s="235" t="e">
        <f t="shared" si="47"/>
        <v>#DIV/0!</v>
      </c>
    </row>
    <row r="78" spans="2:59">
      <c r="B78" s="246">
        <v>65</v>
      </c>
      <c r="C78" s="241">
        <f t="shared" si="43"/>
        <v>44656</v>
      </c>
      <c r="D78" s="229">
        <f t="shared" si="48"/>
        <v>4</v>
      </c>
      <c r="E78" s="230" t="str">
        <f t="shared" si="49"/>
        <v>-</v>
      </c>
      <c r="F78" s="231">
        <f t="shared" si="50"/>
        <v>0</v>
      </c>
      <c r="G78" s="231">
        <f t="shared" si="51"/>
        <v>0</v>
      </c>
      <c r="H78" s="231">
        <f t="shared" si="52"/>
        <v>0</v>
      </c>
      <c r="I78" s="268">
        <f t="shared" si="83"/>
        <v>0</v>
      </c>
      <c r="J78" s="269">
        <f t="shared" si="53"/>
        <v>0</v>
      </c>
      <c r="K78" s="269">
        <f t="shared" si="54"/>
        <v>0</v>
      </c>
      <c r="L78" s="269">
        <f t="shared" si="84"/>
        <v>0</v>
      </c>
      <c r="M78" s="269">
        <f t="shared" si="85"/>
        <v>0</v>
      </c>
      <c r="N78" s="233">
        <f>VLOOKUP(B78,Dados!$L$86:$P$90,5)</f>
        <v>0</v>
      </c>
      <c r="O78" s="270">
        <f t="shared" si="55"/>
        <v>0.99999999999999989</v>
      </c>
      <c r="P78" s="269">
        <f t="shared" si="56"/>
        <v>0</v>
      </c>
      <c r="Q78" s="269" t="e">
        <f t="shared" si="57"/>
        <v>#DIV/0!</v>
      </c>
      <c r="R78" s="269">
        <f t="shared" si="58"/>
        <v>0</v>
      </c>
      <c r="S78" s="269" t="e">
        <f t="shared" si="59"/>
        <v>#DIV/0!</v>
      </c>
      <c r="T78" s="269" t="e">
        <f t="shared" ref="T78:T141" si="91">S78+P78+M78+L78+K78+I78+R78+Q78</f>
        <v>#DIV/0!</v>
      </c>
      <c r="U78" s="234">
        <f t="shared" si="60"/>
        <v>0</v>
      </c>
      <c r="V78" s="232" t="e">
        <f t="shared" si="61"/>
        <v>#DIV/0!</v>
      </c>
      <c r="W78" s="269" t="e">
        <f t="shared" si="62"/>
        <v>#DIV/0!</v>
      </c>
      <c r="X78" s="235">
        <f t="shared" si="86"/>
        <v>0</v>
      </c>
      <c r="Y78" s="236">
        <f t="shared" si="63"/>
        <v>5</v>
      </c>
      <c r="Z78" s="236" t="e">
        <f t="shared" si="64"/>
        <v>#DIV/0!</v>
      </c>
      <c r="AA78" s="236">
        <f t="shared" si="65"/>
        <v>3</v>
      </c>
      <c r="AB78" s="236" t="e">
        <f t="shared" si="66"/>
        <v>#DIV/0!</v>
      </c>
      <c r="AC78" s="235">
        <f t="shared" si="67"/>
        <v>0</v>
      </c>
      <c r="AD78" s="235">
        <f t="shared" si="68"/>
        <v>0</v>
      </c>
      <c r="AE78" s="279">
        <f t="shared" si="69"/>
        <v>0</v>
      </c>
      <c r="AF78" s="232">
        <f t="shared" si="70"/>
        <v>0</v>
      </c>
      <c r="AG78" s="235">
        <f t="shared" si="71"/>
        <v>0</v>
      </c>
      <c r="AH78" s="269">
        <f t="shared" si="72"/>
        <v>0</v>
      </c>
      <c r="AI78" s="232">
        <f t="shared" si="73"/>
        <v>0</v>
      </c>
      <c r="AJ78" s="235">
        <f t="shared" si="74"/>
        <v>0</v>
      </c>
      <c r="AK78" s="269">
        <f t="shared" si="75"/>
        <v>0</v>
      </c>
      <c r="AL78" s="269">
        <f t="shared" si="87"/>
        <v>0</v>
      </c>
      <c r="AM78" s="281" t="e">
        <f>IF(B78&gt;=mpfo,pos*vvm*Dados!$E$122*(ntudv-SUM(U79:$U$301))-SUM($AM$13:AM77),0)</f>
        <v>#DIV/0!</v>
      </c>
      <c r="AN78" s="269" t="e">
        <f t="shared" si="76"/>
        <v>#DIV/0!</v>
      </c>
      <c r="AO78" s="232" t="e">
        <f t="shared" si="77"/>
        <v>#DIV/0!</v>
      </c>
      <c r="AP78" s="242" t="e">
        <f t="shared" si="78"/>
        <v>#DIV/0!</v>
      </c>
      <c r="AQ78" s="235" t="e">
        <f>IF(AP78+SUM($AQ$12:AQ77)&gt;=0,0,-AP78-SUM($AQ$12:AQ77))</f>
        <v>#DIV/0!</v>
      </c>
      <c r="AR78" s="235">
        <f>IF(SUM($N$13:N77)&gt;=pmo,IF(SUM(N77:$N$501)&gt;(1-pmo),B78,0),0)</f>
        <v>0</v>
      </c>
      <c r="AS78" s="235" t="e">
        <f>IF((SUM($U$13:$U77)/ntudv)&gt;=pmv,IF((SUM($U77:$U$501)/ntudv)&gt;(1-pmv),B78,0),0)</f>
        <v>#DIV/0!</v>
      </c>
      <c r="AT78" s="237" t="e">
        <f>IF(MAX(mmo,mmv)=mmo,IF(B78=AR78,(SUM(N$13:$N77)-pmo)/((1-VLOOKUP(MAX(mmo,mmv)-1,$B$13:$O$501,14))+(VLOOKUP(MAX(mmo,mmv)-1,$B$13:$O$501,14)-pmo)),N77/((1-VLOOKUP(MAX(mmo,mmv)-1,$B$13:$O$501,14)+(VLOOKUP(MAX(mmo,mmv)-1,$B$13:$O$501,14)-pmo)))),N77/(1-VLOOKUP(MAX(mmo,mmv)-2,$B$13:$O$501,14)))</f>
        <v>#DIV/0!</v>
      </c>
      <c r="AU78" s="101" t="e">
        <f t="shared" si="88"/>
        <v>#DIV/0!</v>
      </c>
      <c r="AV78" s="287" t="e">
        <f t="shared" si="89"/>
        <v>#DIV/0!</v>
      </c>
      <c r="AW78" s="235" t="e">
        <f t="shared" si="79"/>
        <v>#DIV/0!</v>
      </c>
      <c r="AX78" s="281">
        <f>IF(B78&gt;mpfo,0,IF(B78=mpfo,(vld-teo*(1+tcfo-incc)^(MAX(mmo,mmv)-mbfo))*-1,IF(SUM($N$13:N77)&gt;=pmo,IF(($V77/ntudv)&gt;=pmv,IF(B78=MAX(mmo,mmv),-teo*(1+tcfo-incc)^(B78-mbfo),0),0),0)))</f>
        <v>0</v>
      </c>
      <c r="AY78" s="292" t="e">
        <f t="shared" si="90"/>
        <v>#DIV/0!</v>
      </c>
      <c r="AZ78" s="235" t="e">
        <f t="shared" si="80"/>
        <v>#DIV/0!</v>
      </c>
      <c r="BA78" s="269" t="e">
        <f t="shared" si="81"/>
        <v>#DIV/0!</v>
      </c>
      <c r="BB78" s="292" t="e">
        <f t="shared" si="82"/>
        <v>#DIV/0!</v>
      </c>
      <c r="BC78" s="238" t="e">
        <f>IF(SUM($BC$13:BC77)&gt;0,0,IF(BB78&gt;0,B78,0))</f>
        <v>#DIV/0!</v>
      </c>
      <c r="BD78" s="292" t="e">
        <f>IF(BB78+SUM($BD$12:BD77)&gt;=0,0,-BB78-SUM($BD$12:BD77))</f>
        <v>#DIV/0!</v>
      </c>
      <c r="BE78" s="235" t="e">
        <f>BB78+SUM($BD$12:BD78)</f>
        <v>#DIV/0!</v>
      </c>
      <c r="BF78" s="292" t="e">
        <f>-MIN(BE78:$BE$501)-SUM(BF$12:$BF77)</f>
        <v>#DIV/0!</v>
      </c>
      <c r="BG78" s="235" t="e">
        <f t="shared" si="47"/>
        <v>#DIV/0!</v>
      </c>
    </row>
    <row r="79" spans="2:59">
      <c r="B79" s="120">
        <v>66</v>
      </c>
      <c r="C79" s="241">
        <f t="shared" ref="C79:C142" si="92">DATE(YEAR(C78),MONTH(C78)+1,DAY(C78))</f>
        <v>44686</v>
      </c>
      <c r="D79" s="229">
        <f t="shared" si="48"/>
        <v>5</v>
      </c>
      <c r="E79" s="230" t="str">
        <f t="shared" si="49"/>
        <v>-</v>
      </c>
      <c r="F79" s="231">
        <f t="shared" si="50"/>
        <v>0</v>
      </c>
      <c r="G79" s="231">
        <f t="shared" si="51"/>
        <v>0</v>
      </c>
      <c r="H79" s="231">
        <f t="shared" si="52"/>
        <v>0</v>
      </c>
      <c r="I79" s="268">
        <f t="shared" si="83"/>
        <v>0</v>
      </c>
      <c r="J79" s="269">
        <f t="shared" si="53"/>
        <v>0</v>
      </c>
      <c r="K79" s="269">
        <f t="shared" si="54"/>
        <v>0</v>
      </c>
      <c r="L79" s="269">
        <f t="shared" si="84"/>
        <v>0</v>
      </c>
      <c r="M79" s="269">
        <f t="shared" si="85"/>
        <v>0</v>
      </c>
      <c r="N79" s="233">
        <f>VLOOKUP(B79,Dados!$L$86:$P$90,5)</f>
        <v>0</v>
      </c>
      <c r="O79" s="270">
        <f t="shared" si="55"/>
        <v>0.99999999999999989</v>
      </c>
      <c r="P79" s="269">
        <f t="shared" si="56"/>
        <v>0</v>
      </c>
      <c r="Q79" s="269" t="e">
        <f t="shared" si="57"/>
        <v>#DIV/0!</v>
      </c>
      <c r="R79" s="269">
        <f t="shared" si="58"/>
        <v>0</v>
      </c>
      <c r="S79" s="269" t="e">
        <f t="shared" si="59"/>
        <v>#DIV/0!</v>
      </c>
      <c r="T79" s="269" t="e">
        <f t="shared" si="91"/>
        <v>#DIV/0!</v>
      </c>
      <c r="U79" s="234">
        <f t="shared" si="60"/>
        <v>0</v>
      </c>
      <c r="V79" s="232" t="e">
        <f t="shared" si="61"/>
        <v>#DIV/0!</v>
      </c>
      <c r="W79" s="269" t="e">
        <f t="shared" si="62"/>
        <v>#DIV/0!</v>
      </c>
      <c r="X79" s="235">
        <f t="shared" si="86"/>
        <v>0</v>
      </c>
      <c r="Y79" s="236">
        <f t="shared" si="63"/>
        <v>5</v>
      </c>
      <c r="Z79" s="236" t="e">
        <f t="shared" si="64"/>
        <v>#DIV/0!</v>
      </c>
      <c r="AA79" s="236">
        <f t="shared" si="65"/>
        <v>3</v>
      </c>
      <c r="AB79" s="236" t="e">
        <f t="shared" si="66"/>
        <v>#DIV/0!</v>
      </c>
      <c r="AC79" s="235">
        <f t="shared" si="67"/>
        <v>0</v>
      </c>
      <c r="AD79" s="235">
        <f t="shared" si="68"/>
        <v>0</v>
      </c>
      <c r="AE79" s="279">
        <f t="shared" si="69"/>
        <v>0</v>
      </c>
      <c r="AF79" s="232">
        <f t="shared" si="70"/>
        <v>0</v>
      </c>
      <c r="AG79" s="235">
        <f t="shared" si="71"/>
        <v>0</v>
      </c>
      <c r="AH79" s="269">
        <f t="shared" si="72"/>
        <v>0</v>
      </c>
      <c r="AI79" s="232">
        <f t="shared" si="73"/>
        <v>0</v>
      </c>
      <c r="AJ79" s="235">
        <f t="shared" si="74"/>
        <v>0</v>
      </c>
      <c r="AK79" s="269">
        <f t="shared" si="75"/>
        <v>0</v>
      </c>
      <c r="AL79" s="269">
        <f t="shared" si="87"/>
        <v>0</v>
      </c>
      <c r="AM79" s="281" t="e">
        <f>IF(B79&gt;=mpfo,pos*vvm*Dados!$E$122*(ntudv-SUM(U80:$U$301))-SUM($AM$13:AM78),0)</f>
        <v>#DIV/0!</v>
      </c>
      <c r="AN79" s="269" t="e">
        <f t="shared" si="76"/>
        <v>#DIV/0!</v>
      </c>
      <c r="AO79" s="232" t="e">
        <f t="shared" si="77"/>
        <v>#DIV/0!</v>
      </c>
      <c r="AP79" s="242" t="e">
        <f t="shared" si="78"/>
        <v>#DIV/0!</v>
      </c>
      <c r="AQ79" s="235" t="e">
        <f>IF(AP79+SUM($AQ$12:AQ78)&gt;=0,0,-AP79-SUM($AQ$12:AQ78))</f>
        <v>#DIV/0!</v>
      </c>
      <c r="AR79" s="235">
        <f>IF(SUM($N$13:N78)&gt;=pmo,IF(SUM(N78:$N$501)&gt;(1-pmo),B79,0),0)</f>
        <v>0</v>
      </c>
      <c r="AS79" s="235" t="e">
        <f>IF((SUM($U$13:$U78)/ntudv)&gt;=pmv,IF((SUM($U78:$U$501)/ntudv)&gt;(1-pmv),B79,0),0)</f>
        <v>#DIV/0!</v>
      </c>
      <c r="AT79" s="237" t="e">
        <f>IF(MAX(mmo,mmv)=mmo,IF(B79=AR79,(SUM(N$13:$N78)-pmo)/((1-VLOOKUP(MAX(mmo,mmv)-1,$B$13:$O$501,14))+(VLOOKUP(MAX(mmo,mmv)-1,$B$13:$O$501,14)-pmo)),N78/((1-VLOOKUP(MAX(mmo,mmv)-1,$B$13:$O$501,14)+(VLOOKUP(MAX(mmo,mmv)-1,$B$13:$O$501,14)-pmo)))),N78/(1-VLOOKUP(MAX(mmo,mmv)-2,$B$13:$O$501,14)))</f>
        <v>#DIV/0!</v>
      </c>
      <c r="AU79" s="101" t="e">
        <f t="shared" si="88"/>
        <v>#DIV/0!</v>
      </c>
      <c r="AV79" s="287" t="e">
        <f t="shared" si="89"/>
        <v>#DIV/0!</v>
      </c>
      <c r="AW79" s="235" t="e">
        <f t="shared" si="79"/>
        <v>#DIV/0!</v>
      </c>
      <c r="AX79" s="281">
        <f>IF(B79&gt;mpfo,0,IF(B79=mpfo,(vld-teo*(1+tcfo-incc)^(MAX(mmo,mmv)-mbfo))*-1,IF(SUM($N$13:N78)&gt;=pmo,IF(($V78/ntudv)&gt;=pmv,IF(B79=MAX(mmo,mmv),-teo*(1+tcfo-incc)^(B79-mbfo),0),0),0)))</f>
        <v>0</v>
      </c>
      <c r="AY79" s="292" t="e">
        <f t="shared" si="90"/>
        <v>#DIV/0!</v>
      </c>
      <c r="AZ79" s="235" t="e">
        <f t="shared" si="80"/>
        <v>#DIV/0!</v>
      </c>
      <c r="BA79" s="269" t="e">
        <f t="shared" si="81"/>
        <v>#DIV/0!</v>
      </c>
      <c r="BB79" s="292" t="e">
        <f t="shared" si="82"/>
        <v>#DIV/0!</v>
      </c>
      <c r="BC79" s="238" t="e">
        <f>IF(SUM($BC$13:BC78)&gt;0,0,IF(BB79&gt;0,B79,0))</f>
        <v>#DIV/0!</v>
      </c>
      <c r="BD79" s="292" t="e">
        <f>IF(BB79+SUM($BD$12:BD78)&gt;=0,0,-BB79-SUM($BD$12:BD78))</f>
        <v>#DIV/0!</v>
      </c>
      <c r="BE79" s="235" t="e">
        <f>BB79+SUM($BD$12:BD79)</f>
        <v>#DIV/0!</v>
      </c>
      <c r="BF79" s="292" t="e">
        <f>-MIN(BE79:$BE$501)-SUM(BF$12:$BF78)</f>
        <v>#DIV/0!</v>
      </c>
      <c r="BG79" s="235" t="e">
        <f t="shared" ref="BG79:BG142" si="93">BF79</f>
        <v>#DIV/0!</v>
      </c>
    </row>
    <row r="80" spans="2:59">
      <c r="B80" s="246">
        <v>67</v>
      </c>
      <c r="C80" s="241">
        <f t="shared" si="92"/>
        <v>44717</v>
      </c>
      <c r="D80" s="229">
        <f t="shared" si="48"/>
        <v>6</v>
      </c>
      <c r="E80" s="230" t="str">
        <f t="shared" si="49"/>
        <v>-</v>
      </c>
      <c r="F80" s="231">
        <f t="shared" si="50"/>
        <v>0</v>
      </c>
      <c r="G80" s="231">
        <f t="shared" si="51"/>
        <v>0</v>
      </c>
      <c r="H80" s="231">
        <f t="shared" si="52"/>
        <v>0</v>
      </c>
      <c r="I80" s="268">
        <f t="shared" si="83"/>
        <v>0</v>
      </c>
      <c r="J80" s="269">
        <f t="shared" si="53"/>
        <v>0</v>
      </c>
      <c r="K80" s="269">
        <f t="shared" si="54"/>
        <v>0</v>
      </c>
      <c r="L80" s="269">
        <f t="shared" si="84"/>
        <v>0</v>
      </c>
      <c r="M80" s="269">
        <f t="shared" si="85"/>
        <v>0</v>
      </c>
      <c r="N80" s="233">
        <f>VLOOKUP(B80,Dados!$L$86:$P$90,5)</f>
        <v>0</v>
      </c>
      <c r="O80" s="270">
        <f t="shared" si="55"/>
        <v>0.99999999999999989</v>
      </c>
      <c r="P80" s="269">
        <f t="shared" si="56"/>
        <v>0</v>
      </c>
      <c r="Q80" s="269" t="e">
        <f t="shared" si="57"/>
        <v>#DIV/0!</v>
      </c>
      <c r="R80" s="269">
        <f t="shared" si="58"/>
        <v>0</v>
      </c>
      <c r="S80" s="269" t="e">
        <f t="shared" si="59"/>
        <v>#DIV/0!</v>
      </c>
      <c r="T80" s="269" t="e">
        <f t="shared" si="91"/>
        <v>#DIV/0!</v>
      </c>
      <c r="U80" s="234">
        <f t="shared" si="60"/>
        <v>0</v>
      </c>
      <c r="V80" s="232" t="e">
        <f t="shared" si="61"/>
        <v>#DIV/0!</v>
      </c>
      <c r="W80" s="269" t="e">
        <f t="shared" si="62"/>
        <v>#DIV/0!</v>
      </c>
      <c r="X80" s="235">
        <f t="shared" si="86"/>
        <v>0</v>
      </c>
      <c r="Y80" s="236">
        <f t="shared" si="63"/>
        <v>5</v>
      </c>
      <c r="Z80" s="236" t="e">
        <f t="shared" si="64"/>
        <v>#DIV/0!</v>
      </c>
      <c r="AA80" s="236">
        <f t="shared" si="65"/>
        <v>3</v>
      </c>
      <c r="AB80" s="236" t="e">
        <f t="shared" si="66"/>
        <v>#DIV/0!</v>
      </c>
      <c r="AC80" s="235">
        <f t="shared" si="67"/>
        <v>0</v>
      </c>
      <c r="AD80" s="235">
        <f t="shared" si="68"/>
        <v>0</v>
      </c>
      <c r="AE80" s="279">
        <f t="shared" si="69"/>
        <v>0</v>
      </c>
      <c r="AF80" s="232">
        <f t="shared" si="70"/>
        <v>1</v>
      </c>
      <c r="AG80" s="235">
        <f t="shared" si="71"/>
        <v>0</v>
      </c>
      <c r="AH80" s="269">
        <f t="shared" si="72"/>
        <v>0</v>
      </c>
      <c r="AI80" s="232">
        <f t="shared" si="73"/>
        <v>0</v>
      </c>
      <c r="AJ80" s="235">
        <f t="shared" si="74"/>
        <v>0</v>
      </c>
      <c r="AK80" s="269">
        <f t="shared" si="75"/>
        <v>0</v>
      </c>
      <c r="AL80" s="269">
        <f t="shared" si="87"/>
        <v>0</v>
      </c>
      <c r="AM80" s="281" t="e">
        <f>IF(B80&gt;=mpfo,pos*vvm*Dados!$E$122*(ntudv-SUM(U81:$U$301))-SUM($AM$13:AM79),0)</f>
        <v>#DIV/0!</v>
      </c>
      <c r="AN80" s="269" t="e">
        <f t="shared" si="76"/>
        <v>#DIV/0!</v>
      </c>
      <c r="AO80" s="232" t="e">
        <f t="shared" si="77"/>
        <v>#DIV/0!</v>
      </c>
      <c r="AP80" s="242" t="e">
        <f t="shared" si="78"/>
        <v>#DIV/0!</v>
      </c>
      <c r="AQ80" s="235" t="e">
        <f>IF(AP80+SUM($AQ$12:AQ79)&gt;=0,0,-AP80-SUM($AQ$12:AQ79))</f>
        <v>#DIV/0!</v>
      </c>
      <c r="AR80" s="235">
        <f>IF(SUM($N$13:N79)&gt;=pmo,IF(SUM(N79:$N$501)&gt;(1-pmo),B80,0),0)</f>
        <v>0</v>
      </c>
      <c r="AS80" s="235" t="e">
        <f>IF((SUM($U$13:$U79)/ntudv)&gt;=pmv,IF((SUM($U79:$U$501)/ntudv)&gt;(1-pmv),B80,0),0)</f>
        <v>#DIV/0!</v>
      </c>
      <c r="AT80" s="237" t="e">
        <f>IF(MAX(mmo,mmv)=mmo,IF(B80=AR80,(SUM(N$13:$N79)-pmo)/((1-VLOOKUP(MAX(mmo,mmv)-1,$B$13:$O$501,14))+(VLOOKUP(MAX(mmo,mmv)-1,$B$13:$O$501,14)-pmo)),N79/((1-VLOOKUP(MAX(mmo,mmv)-1,$B$13:$O$501,14)+(VLOOKUP(MAX(mmo,mmv)-1,$B$13:$O$501,14)-pmo)))),N79/(1-VLOOKUP(MAX(mmo,mmv)-2,$B$13:$O$501,14)))</f>
        <v>#DIV/0!</v>
      </c>
      <c r="AU80" s="101" t="e">
        <f t="shared" si="88"/>
        <v>#DIV/0!</v>
      </c>
      <c r="AV80" s="287" t="e">
        <f t="shared" si="89"/>
        <v>#DIV/0!</v>
      </c>
      <c r="AW80" s="235" t="e">
        <f t="shared" si="79"/>
        <v>#DIV/0!</v>
      </c>
      <c r="AX80" s="281">
        <f>IF(B80&gt;mpfo,0,IF(B80=mpfo,(vld-teo*(1+tcfo-incc)^(MAX(mmo,mmv)-mbfo))*-1,IF(SUM($N$13:N79)&gt;=pmo,IF(($V79/ntudv)&gt;=pmv,IF(B80=MAX(mmo,mmv),-teo*(1+tcfo-incc)^(B80-mbfo),0),0),0)))</f>
        <v>0</v>
      </c>
      <c r="AY80" s="292" t="e">
        <f t="shared" si="90"/>
        <v>#DIV/0!</v>
      </c>
      <c r="AZ80" s="235" t="e">
        <f t="shared" si="80"/>
        <v>#DIV/0!</v>
      </c>
      <c r="BA80" s="269" t="e">
        <f t="shared" si="81"/>
        <v>#DIV/0!</v>
      </c>
      <c r="BB80" s="292" t="e">
        <f t="shared" si="82"/>
        <v>#DIV/0!</v>
      </c>
      <c r="BC80" s="238" t="e">
        <f>IF(SUM($BC$13:BC79)&gt;0,0,IF(BB80&gt;0,B80,0))</f>
        <v>#DIV/0!</v>
      </c>
      <c r="BD80" s="292" t="e">
        <f>IF(BB80+SUM($BD$12:BD79)&gt;=0,0,-BB80-SUM($BD$12:BD79))</f>
        <v>#DIV/0!</v>
      </c>
      <c r="BE80" s="235" t="e">
        <f>BB80+SUM($BD$12:BD80)</f>
        <v>#DIV/0!</v>
      </c>
      <c r="BF80" s="292" t="e">
        <f>-MIN(BE80:$BE$501)-SUM(BF$12:$BF79)</f>
        <v>#DIV/0!</v>
      </c>
      <c r="BG80" s="235" t="e">
        <f t="shared" si="93"/>
        <v>#DIV/0!</v>
      </c>
    </row>
    <row r="81" spans="2:59">
      <c r="B81" s="120">
        <v>68</v>
      </c>
      <c r="C81" s="241">
        <f t="shared" si="92"/>
        <v>44747</v>
      </c>
      <c r="D81" s="229">
        <f t="shared" si="48"/>
        <v>7</v>
      </c>
      <c r="E81" s="230" t="str">
        <f t="shared" si="49"/>
        <v>-</v>
      </c>
      <c r="F81" s="231">
        <f t="shared" si="50"/>
        <v>0</v>
      </c>
      <c r="G81" s="231">
        <f t="shared" si="51"/>
        <v>0</v>
      </c>
      <c r="H81" s="231">
        <f t="shared" si="52"/>
        <v>0</v>
      </c>
      <c r="I81" s="268">
        <f t="shared" si="83"/>
        <v>0</v>
      </c>
      <c r="J81" s="269">
        <f t="shared" si="53"/>
        <v>0</v>
      </c>
      <c r="K81" s="269">
        <f t="shared" si="54"/>
        <v>0</v>
      </c>
      <c r="L81" s="269">
        <f t="shared" si="84"/>
        <v>0</v>
      </c>
      <c r="M81" s="269">
        <f t="shared" si="85"/>
        <v>0</v>
      </c>
      <c r="N81" s="233">
        <f>VLOOKUP(B81,Dados!$L$86:$P$90,5)</f>
        <v>0</v>
      </c>
      <c r="O81" s="270">
        <f t="shared" si="55"/>
        <v>0.99999999999999989</v>
      </c>
      <c r="P81" s="269">
        <f t="shared" si="56"/>
        <v>0</v>
      </c>
      <c r="Q81" s="269" t="e">
        <f t="shared" si="57"/>
        <v>#DIV/0!</v>
      </c>
      <c r="R81" s="269">
        <f t="shared" si="58"/>
        <v>0</v>
      </c>
      <c r="S81" s="269" t="e">
        <f t="shared" si="59"/>
        <v>#DIV/0!</v>
      </c>
      <c r="T81" s="269" t="e">
        <f t="shared" si="91"/>
        <v>#DIV/0!</v>
      </c>
      <c r="U81" s="234">
        <f t="shared" si="60"/>
        <v>0</v>
      </c>
      <c r="V81" s="232" t="e">
        <f t="shared" si="61"/>
        <v>#DIV/0!</v>
      </c>
      <c r="W81" s="269" t="e">
        <f t="shared" si="62"/>
        <v>#DIV/0!</v>
      </c>
      <c r="X81" s="235">
        <f t="shared" si="86"/>
        <v>0</v>
      </c>
      <c r="Y81" s="236">
        <f t="shared" si="63"/>
        <v>5</v>
      </c>
      <c r="Z81" s="236" t="e">
        <f t="shared" si="64"/>
        <v>#DIV/0!</v>
      </c>
      <c r="AA81" s="236">
        <f t="shared" si="65"/>
        <v>3</v>
      </c>
      <c r="AB81" s="236" t="e">
        <f t="shared" si="66"/>
        <v>#DIV/0!</v>
      </c>
      <c r="AC81" s="235">
        <f t="shared" si="67"/>
        <v>0</v>
      </c>
      <c r="AD81" s="235">
        <f t="shared" si="68"/>
        <v>0</v>
      </c>
      <c r="AE81" s="279">
        <f t="shared" si="69"/>
        <v>0</v>
      </c>
      <c r="AF81" s="232">
        <f t="shared" si="70"/>
        <v>0</v>
      </c>
      <c r="AG81" s="235">
        <f t="shared" si="71"/>
        <v>0</v>
      </c>
      <c r="AH81" s="269">
        <f t="shared" si="72"/>
        <v>0</v>
      </c>
      <c r="AI81" s="232">
        <f t="shared" si="73"/>
        <v>0</v>
      </c>
      <c r="AJ81" s="235">
        <f t="shared" si="74"/>
        <v>0</v>
      </c>
      <c r="AK81" s="269">
        <f t="shared" si="75"/>
        <v>0</v>
      </c>
      <c r="AL81" s="269">
        <f t="shared" si="87"/>
        <v>0</v>
      </c>
      <c r="AM81" s="281" t="e">
        <f>IF(B81&gt;=mpfo,pos*vvm*Dados!$E$122*(ntudv-SUM(U82:$U$301))-SUM($AM$13:AM80),0)</f>
        <v>#DIV/0!</v>
      </c>
      <c r="AN81" s="269" t="e">
        <f t="shared" si="76"/>
        <v>#DIV/0!</v>
      </c>
      <c r="AO81" s="232" t="e">
        <f t="shared" si="77"/>
        <v>#DIV/0!</v>
      </c>
      <c r="AP81" s="242" t="e">
        <f t="shared" si="78"/>
        <v>#DIV/0!</v>
      </c>
      <c r="AQ81" s="235" t="e">
        <f>IF(AP81+SUM($AQ$12:AQ80)&gt;=0,0,-AP81-SUM($AQ$12:AQ80))</f>
        <v>#DIV/0!</v>
      </c>
      <c r="AR81" s="235">
        <f>IF(SUM($N$13:N80)&gt;=pmo,IF(SUM(N80:$N$501)&gt;(1-pmo),B81,0),0)</f>
        <v>0</v>
      </c>
      <c r="AS81" s="235" t="e">
        <f>IF((SUM($U$13:$U80)/ntudv)&gt;=pmv,IF((SUM($U80:$U$501)/ntudv)&gt;(1-pmv),B81,0),0)</f>
        <v>#DIV/0!</v>
      </c>
      <c r="AT81" s="237" t="e">
        <f>IF(MAX(mmo,mmv)=mmo,IF(B81=AR81,(SUM(N$13:$N80)-pmo)/((1-VLOOKUP(MAX(mmo,mmv)-1,$B$13:$O$501,14))+(VLOOKUP(MAX(mmo,mmv)-1,$B$13:$O$501,14)-pmo)),N80/((1-VLOOKUP(MAX(mmo,mmv)-1,$B$13:$O$501,14)+(VLOOKUP(MAX(mmo,mmv)-1,$B$13:$O$501,14)-pmo)))),N80/(1-VLOOKUP(MAX(mmo,mmv)-2,$B$13:$O$501,14)))</f>
        <v>#DIV/0!</v>
      </c>
      <c r="AU81" s="101" t="e">
        <f t="shared" si="88"/>
        <v>#DIV/0!</v>
      </c>
      <c r="AV81" s="287" t="e">
        <f t="shared" si="89"/>
        <v>#DIV/0!</v>
      </c>
      <c r="AW81" s="235" t="e">
        <f t="shared" si="79"/>
        <v>#DIV/0!</v>
      </c>
      <c r="AX81" s="281">
        <f>IF(B81&gt;mpfo,0,IF(B81=mpfo,(vld-teo*(1+tcfo-incc)^(MAX(mmo,mmv)-mbfo))*-1,IF(SUM($N$13:N80)&gt;=pmo,IF(($V80/ntudv)&gt;=pmv,IF(B81=MAX(mmo,mmv),-teo*(1+tcfo-incc)^(B81-mbfo),0),0),0)))</f>
        <v>0</v>
      </c>
      <c r="AY81" s="292" t="e">
        <f t="shared" si="90"/>
        <v>#DIV/0!</v>
      </c>
      <c r="AZ81" s="235" t="e">
        <f t="shared" si="80"/>
        <v>#DIV/0!</v>
      </c>
      <c r="BA81" s="269" t="e">
        <f t="shared" si="81"/>
        <v>#DIV/0!</v>
      </c>
      <c r="BB81" s="292" t="e">
        <f t="shared" si="82"/>
        <v>#DIV/0!</v>
      </c>
      <c r="BC81" s="238" t="e">
        <f>IF(SUM($BC$13:BC80)&gt;0,0,IF(BB81&gt;0,B81,0))</f>
        <v>#DIV/0!</v>
      </c>
      <c r="BD81" s="292" t="e">
        <f>IF(BB81+SUM($BD$12:BD80)&gt;=0,0,-BB81-SUM($BD$12:BD80))</f>
        <v>#DIV/0!</v>
      </c>
      <c r="BE81" s="235" t="e">
        <f>BB81+SUM($BD$12:BD81)</f>
        <v>#DIV/0!</v>
      </c>
      <c r="BF81" s="292" t="e">
        <f>-MIN(BE81:$BE$501)-SUM(BF$12:$BF80)</f>
        <v>#DIV/0!</v>
      </c>
      <c r="BG81" s="235" t="e">
        <f t="shared" si="93"/>
        <v>#DIV/0!</v>
      </c>
    </row>
    <row r="82" spans="2:59">
      <c r="B82" s="246">
        <v>69</v>
      </c>
      <c r="C82" s="241">
        <f t="shared" si="92"/>
        <v>44778</v>
      </c>
      <c r="D82" s="229">
        <f t="shared" si="48"/>
        <v>8</v>
      </c>
      <c r="E82" s="230" t="str">
        <f t="shared" si="49"/>
        <v>-</v>
      </c>
      <c r="F82" s="231">
        <f t="shared" si="50"/>
        <v>0</v>
      </c>
      <c r="G82" s="231">
        <f t="shared" si="51"/>
        <v>0</v>
      </c>
      <c r="H82" s="231">
        <f t="shared" si="52"/>
        <v>0</v>
      </c>
      <c r="I82" s="268">
        <f t="shared" si="83"/>
        <v>0</v>
      </c>
      <c r="J82" s="269">
        <f t="shared" si="53"/>
        <v>0</v>
      </c>
      <c r="K82" s="269">
        <f t="shared" si="54"/>
        <v>0</v>
      </c>
      <c r="L82" s="269">
        <f t="shared" si="84"/>
        <v>0</v>
      </c>
      <c r="M82" s="269">
        <f t="shared" si="85"/>
        <v>0</v>
      </c>
      <c r="N82" s="233">
        <f>VLOOKUP(B82,Dados!$L$86:$P$90,5)</f>
        <v>0</v>
      </c>
      <c r="O82" s="270">
        <f t="shared" si="55"/>
        <v>0.99999999999999989</v>
      </c>
      <c r="P82" s="269">
        <f t="shared" si="56"/>
        <v>0</v>
      </c>
      <c r="Q82" s="269" t="e">
        <f t="shared" si="57"/>
        <v>#DIV/0!</v>
      </c>
      <c r="R82" s="269">
        <f t="shared" si="58"/>
        <v>0</v>
      </c>
      <c r="S82" s="269" t="e">
        <f t="shared" si="59"/>
        <v>#DIV/0!</v>
      </c>
      <c r="T82" s="269" t="e">
        <f t="shared" si="91"/>
        <v>#DIV/0!</v>
      </c>
      <c r="U82" s="234">
        <f t="shared" si="60"/>
        <v>0</v>
      </c>
      <c r="V82" s="232" t="e">
        <f t="shared" si="61"/>
        <v>#DIV/0!</v>
      </c>
      <c r="W82" s="269" t="e">
        <f t="shared" si="62"/>
        <v>#DIV/0!</v>
      </c>
      <c r="X82" s="235">
        <f t="shared" si="86"/>
        <v>0</v>
      </c>
      <c r="Y82" s="236">
        <f t="shared" si="63"/>
        <v>5</v>
      </c>
      <c r="Z82" s="236" t="e">
        <f t="shared" si="64"/>
        <v>#DIV/0!</v>
      </c>
      <c r="AA82" s="236">
        <f t="shared" si="65"/>
        <v>3</v>
      </c>
      <c r="AB82" s="236" t="e">
        <f t="shared" si="66"/>
        <v>#DIV/0!</v>
      </c>
      <c r="AC82" s="235">
        <f t="shared" si="67"/>
        <v>0</v>
      </c>
      <c r="AD82" s="235">
        <f t="shared" si="68"/>
        <v>0</v>
      </c>
      <c r="AE82" s="279">
        <f t="shared" si="69"/>
        <v>0</v>
      </c>
      <c r="AF82" s="232">
        <f t="shared" si="70"/>
        <v>0</v>
      </c>
      <c r="AG82" s="235">
        <f t="shared" si="71"/>
        <v>0</v>
      </c>
      <c r="AH82" s="269">
        <f t="shared" si="72"/>
        <v>0</v>
      </c>
      <c r="AI82" s="232">
        <f t="shared" si="73"/>
        <v>0</v>
      </c>
      <c r="AJ82" s="235">
        <f t="shared" si="74"/>
        <v>0</v>
      </c>
      <c r="AK82" s="269">
        <f t="shared" si="75"/>
        <v>0</v>
      </c>
      <c r="AL82" s="269">
        <f t="shared" si="87"/>
        <v>0</v>
      </c>
      <c r="AM82" s="281" t="e">
        <f>IF(B82&gt;=mpfo,pos*vvm*Dados!$E$122*(ntudv-SUM(U83:$U$301))-SUM($AM$13:AM81),0)</f>
        <v>#DIV/0!</v>
      </c>
      <c r="AN82" s="269" t="e">
        <f t="shared" si="76"/>
        <v>#DIV/0!</v>
      </c>
      <c r="AO82" s="232" t="e">
        <f t="shared" si="77"/>
        <v>#DIV/0!</v>
      </c>
      <c r="AP82" s="242" t="e">
        <f t="shared" si="78"/>
        <v>#DIV/0!</v>
      </c>
      <c r="AQ82" s="235" t="e">
        <f>IF(AP82+SUM($AQ$12:AQ81)&gt;=0,0,-AP82-SUM($AQ$12:AQ81))</f>
        <v>#DIV/0!</v>
      </c>
      <c r="AR82" s="235">
        <f>IF(SUM($N$13:N81)&gt;=pmo,IF(SUM(N81:$N$501)&gt;(1-pmo),B82,0),0)</f>
        <v>0</v>
      </c>
      <c r="AS82" s="235" t="e">
        <f>IF((SUM($U$13:$U81)/ntudv)&gt;=pmv,IF((SUM($U81:$U$501)/ntudv)&gt;(1-pmv),B82,0),0)</f>
        <v>#DIV/0!</v>
      </c>
      <c r="AT82" s="237" t="e">
        <f>IF(MAX(mmo,mmv)=mmo,IF(B82=AR82,(SUM(N$13:$N81)-pmo)/((1-VLOOKUP(MAX(mmo,mmv)-1,$B$13:$O$501,14))+(VLOOKUP(MAX(mmo,mmv)-1,$B$13:$O$501,14)-pmo)),N81/((1-VLOOKUP(MAX(mmo,mmv)-1,$B$13:$O$501,14)+(VLOOKUP(MAX(mmo,mmv)-1,$B$13:$O$501,14)-pmo)))),N81/(1-VLOOKUP(MAX(mmo,mmv)-2,$B$13:$O$501,14)))</f>
        <v>#DIV/0!</v>
      </c>
      <c r="AU82" s="101" t="e">
        <f t="shared" si="88"/>
        <v>#DIV/0!</v>
      </c>
      <c r="AV82" s="287" t="e">
        <f t="shared" si="89"/>
        <v>#DIV/0!</v>
      </c>
      <c r="AW82" s="235" t="e">
        <f t="shared" si="79"/>
        <v>#DIV/0!</v>
      </c>
      <c r="AX82" s="281">
        <f>IF(B82&gt;mpfo,0,IF(B82=mpfo,(vld-teo*(1+tcfo-incc)^(MAX(mmo,mmv)-mbfo))*-1,IF(SUM($N$13:N81)&gt;=pmo,IF(($V81/ntudv)&gt;=pmv,IF(B82=MAX(mmo,mmv),-teo*(1+tcfo-incc)^(B82-mbfo),0),0),0)))</f>
        <v>0</v>
      </c>
      <c r="AY82" s="292" t="e">
        <f t="shared" si="90"/>
        <v>#DIV/0!</v>
      </c>
      <c r="AZ82" s="235" t="e">
        <f t="shared" si="80"/>
        <v>#DIV/0!</v>
      </c>
      <c r="BA82" s="269" t="e">
        <f t="shared" si="81"/>
        <v>#DIV/0!</v>
      </c>
      <c r="BB82" s="292" t="e">
        <f t="shared" si="82"/>
        <v>#DIV/0!</v>
      </c>
      <c r="BC82" s="238" t="e">
        <f>IF(SUM($BC$13:BC81)&gt;0,0,IF(BB82&gt;0,B82,0))</f>
        <v>#DIV/0!</v>
      </c>
      <c r="BD82" s="292" t="e">
        <f>IF(BB82+SUM($BD$12:BD81)&gt;=0,0,-BB82-SUM($BD$12:BD81))</f>
        <v>#DIV/0!</v>
      </c>
      <c r="BE82" s="235" t="e">
        <f>BB82+SUM($BD$12:BD82)</f>
        <v>#DIV/0!</v>
      </c>
      <c r="BF82" s="292" t="e">
        <f>-MIN(BE82:$BE$501)-SUM(BF$12:$BF81)</f>
        <v>#DIV/0!</v>
      </c>
      <c r="BG82" s="235" t="e">
        <f t="shared" si="93"/>
        <v>#DIV/0!</v>
      </c>
    </row>
    <row r="83" spans="2:59">
      <c r="B83" s="120">
        <v>70</v>
      </c>
      <c r="C83" s="241">
        <f t="shared" si="92"/>
        <v>44809</v>
      </c>
      <c r="D83" s="229">
        <f t="shared" si="48"/>
        <v>9</v>
      </c>
      <c r="E83" s="230" t="str">
        <f t="shared" si="49"/>
        <v>-</v>
      </c>
      <c r="F83" s="231">
        <f t="shared" si="50"/>
        <v>0</v>
      </c>
      <c r="G83" s="231">
        <f t="shared" si="51"/>
        <v>0</v>
      </c>
      <c r="H83" s="231">
        <f t="shared" si="52"/>
        <v>0</v>
      </c>
      <c r="I83" s="268">
        <f t="shared" si="83"/>
        <v>0</v>
      </c>
      <c r="J83" s="269">
        <f t="shared" si="53"/>
        <v>0</v>
      </c>
      <c r="K83" s="269">
        <f t="shared" si="54"/>
        <v>0</v>
      </c>
      <c r="L83" s="269">
        <f t="shared" si="84"/>
        <v>0</v>
      </c>
      <c r="M83" s="269">
        <f t="shared" si="85"/>
        <v>0</v>
      </c>
      <c r="N83" s="233">
        <f>VLOOKUP(B83,Dados!$L$86:$P$90,5)</f>
        <v>0</v>
      </c>
      <c r="O83" s="270">
        <f t="shared" si="55"/>
        <v>0.99999999999999989</v>
      </c>
      <c r="P83" s="269">
        <f t="shared" si="56"/>
        <v>0</v>
      </c>
      <c r="Q83" s="269" t="e">
        <f t="shared" si="57"/>
        <v>#DIV/0!</v>
      </c>
      <c r="R83" s="269">
        <f t="shared" si="58"/>
        <v>0</v>
      </c>
      <c r="S83" s="269" t="e">
        <f t="shared" si="59"/>
        <v>#DIV/0!</v>
      </c>
      <c r="T83" s="269" t="e">
        <f t="shared" si="91"/>
        <v>#DIV/0!</v>
      </c>
      <c r="U83" s="234">
        <f t="shared" si="60"/>
        <v>0</v>
      </c>
      <c r="V83" s="232" t="e">
        <f t="shared" si="61"/>
        <v>#DIV/0!</v>
      </c>
      <c r="W83" s="269" t="e">
        <f t="shared" si="62"/>
        <v>#DIV/0!</v>
      </c>
      <c r="X83" s="235">
        <f t="shared" si="86"/>
        <v>0</v>
      </c>
      <c r="Y83" s="236">
        <f t="shared" si="63"/>
        <v>5</v>
      </c>
      <c r="Z83" s="236" t="e">
        <f t="shared" si="64"/>
        <v>#DIV/0!</v>
      </c>
      <c r="AA83" s="236">
        <f t="shared" si="65"/>
        <v>3</v>
      </c>
      <c r="AB83" s="236" t="e">
        <f t="shared" si="66"/>
        <v>#DIV/0!</v>
      </c>
      <c r="AC83" s="235">
        <f t="shared" si="67"/>
        <v>0</v>
      </c>
      <c r="AD83" s="235">
        <f t="shared" si="68"/>
        <v>0</v>
      </c>
      <c r="AE83" s="279">
        <f t="shared" si="69"/>
        <v>0</v>
      </c>
      <c r="AF83" s="232">
        <f t="shared" si="70"/>
        <v>0</v>
      </c>
      <c r="AG83" s="235">
        <f t="shared" si="71"/>
        <v>0</v>
      </c>
      <c r="AH83" s="269">
        <f t="shared" si="72"/>
        <v>0</v>
      </c>
      <c r="AI83" s="232">
        <f t="shared" si="73"/>
        <v>0</v>
      </c>
      <c r="AJ83" s="235">
        <f t="shared" si="74"/>
        <v>0</v>
      </c>
      <c r="AK83" s="269">
        <f t="shared" si="75"/>
        <v>0</v>
      </c>
      <c r="AL83" s="269">
        <f t="shared" si="87"/>
        <v>0</v>
      </c>
      <c r="AM83" s="281" t="e">
        <f>IF(B83&gt;=mpfo,pos*vvm*Dados!$E$122*(ntudv-SUM(U84:$U$301))-SUM($AM$13:AM82),0)</f>
        <v>#DIV/0!</v>
      </c>
      <c r="AN83" s="269" t="e">
        <f t="shared" si="76"/>
        <v>#DIV/0!</v>
      </c>
      <c r="AO83" s="232" t="e">
        <f t="shared" si="77"/>
        <v>#DIV/0!</v>
      </c>
      <c r="AP83" s="242" t="e">
        <f t="shared" si="78"/>
        <v>#DIV/0!</v>
      </c>
      <c r="AQ83" s="235" t="e">
        <f>IF(AP83+SUM($AQ$12:AQ82)&gt;=0,0,-AP83-SUM($AQ$12:AQ82))</f>
        <v>#DIV/0!</v>
      </c>
      <c r="AR83" s="235">
        <f>IF(SUM($N$13:N82)&gt;=pmo,IF(SUM(N82:$N$501)&gt;(1-pmo),B83,0),0)</f>
        <v>0</v>
      </c>
      <c r="AS83" s="235" t="e">
        <f>IF((SUM($U$13:$U82)/ntudv)&gt;=pmv,IF((SUM($U82:$U$501)/ntudv)&gt;(1-pmv),B83,0),0)</f>
        <v>#DIV/0!</v>
      </c>
      <c r="AT83" s="237" t="e">
        <f>IF(MAX(mmo,mmv)=mmo,IF(B83=AR83,(SUM(N$13:$N82)-pmo)/((1-VLOOKUP(MAX(mmo,mmv)-1,$B$13:$O$501,14))+(VLOOKUP(MAX(mmo,mmv)-1,$B$13:$O$501,14)-pmo)),N82/((1-VLOOKUP(MAX(mmo,mmv)-1,$B$13:$O$501,14)+(VLOOKUP(MAX(mmo,mmv)-1,$B$13:$O$501,14)-pmo)))),N82/(1-VLOOKUP(MAX(mmo,mmv)-2,$B$13:$O$501,14)))</f>
        <v>#DIV/0!</v>
      </c>
      <c r="AU83" s="101" t="e">
        <f t="shared" si="88"/>
        <v>#DIV/0!</v>
      </c>
      <c r="AV83" s="287" t="e">
        <f t="shared" si="89"/>
        <v>#DIV/0!</v>
      </c>
      <c r="AW83" s="235" t="e">
        <f t="shared" si="79"/>
        <v>#DIV/0!</v>
      </c>
      <c r="AX83" s="281">
        <f>IF(B83&gt;mpfo,0,IF(B83=mpfo,(vld-teo*(1+tcfo-incc)^(MAX(mmo,mmv)-mbfo))*-1,IF(SUM($N$13:N82)&gt;=pmo,IF(($V82/ntudv)&gt;=pmv,IF(B83=MAX(mmo,mmv),-teo*(1+tcfo-incc)^(B83-mbfo),0),0),0)))</f>
        <v>0</v>
      </c>
      <c r="AY83" s="292" t="e">
        <f t="shared" si="90"/>
        <v>#DIV/0!</v>
      </c>
      <c r="AZ83" s="235" t="e">
        <f t="shared" si="80"/>
        <v>#DIV/0!</v>
      </c>
      <c r="BA83" s="269" t="e">
        <f t="shared" si="81"/>
        <v>#DIV/0!</v>
      </c>
      <c r="BB83" s="292" t="e">
        <f t="shared" si="82"/>
        <v>#DIV/0!</v>
      </c>
      <c r="BC83" s="238" t="e">
        <f>IF(SUM($BC$13:BC82)&gt;0,0,IF(BB83&gt;0,B83,0))</f>
        <v>#DIV/0!</v>
      </c>
      <c r="BD83" s="292" t="e">
        <f>IF(BB83+SUM($BD$12:BD82)&gt;=0,0,-BB83-SUM($BD$12:BD82))</f>
        <v>#DIV/0!</v>
      </c>
      <c r="BE83" s="235" t="e">
        <f>BB83+SUM($BD$12:BD83)</f>
        <v>#DIV/0!</v>
      </c>
      <c r="BF83" s="292" t="e">
        <f>-MIN(BE83:$BE$501)-SUM(BF$12:$BF82)</f>
        <v>#DIV/0!</v>
      </c>
      <c r="BG83" s="235" t="e">
        <f t="shared" si="93"/>
        <v>#DIV/0!</v>
      </c>
    </row>
    <row r="84" spans="2:59">
      <c r="B84" s="246">
        <v>71</v>
      </c>
      <c r="C84" s="241">
        <f t="shared" si="92"/>
        <v>44839</v>
      </c>
      <c r="D84" s="229">
        <f t="shared" si="48"/>
        <v>10</v>
      </c>
      <c r="E84" s="230" t="str">
        <f t="shared" si="49"/>
        <v>-</v>
      </c>
      <c r="F84" s="231">
        <f t="shared" si="50"/>
        <v>0</v>
      </c>
      <c r="G84" s="231">
        <f t="shared" si="51"/>
        <v>0</v>
      </c>
      <c r="H84" s="231">
        <f t="shared" si="52"/>
        <v>0</v>
      </c>
      <c r="I84" s="268">
        <f t="shared" si="83"/>
        <v>0</v>
      </c>
      <c r="J84" s="269">
        <f t="shared" si="53"/>
        <v>0</v>
      </c>
      <c r="K84" s="269">
        <f t="shared" si="54"/>
        <v>0</v>
      </c>
      <c r="L84" s="269">
        <f t="shared" si="84"/>
        <v>0</v>
      </c>
      <c r="M84" s="269">
        <f t="shared" si="85"/>
        <v>0</v>
      </c>
      <c r="N84" s="233">
        <f>VLOOKUP(B84,Dados!$L$86:$P$90,5)</f>
        <v>0</v>
      </c>
      <c r="O84" s="270">
        <f t="shared" si="55"/>
        <v>0.99999999999999989</v>
      </c>
      <c r="P84" s="269">
        <f t="shared" si="56"/>
        <v>0</v>
      </c>
      <c r="Q84" s="269" t="e">
        <f t="shared" si="57"/>
        <v>#DIV/0!</v>
      </c>
      <c r="R84" s="269">
        <f t="shared" si="58"/>
        <v>0</v>
      </c>
      <c r="S84" s="269" t="e">
        <f t="shared" si="59"/>
        <v>#DIV/0!</v>
      </c>
      <c r="T84" s="269" t="e">
        <f t="shared" si="91"/>
        <v>#DIV/0!</v>
      </c>
      <c r="U84" s="234">
        <f t="shared" si="60"/>
        <v>0</v>
      </c>
      <c r="V84" s="232" t="e">
        <f t="shared" si="61"/>
        <v>#DIV/0!</v>
      </c>
      <c r="W84" s="269" t="e">
        <f t="shared" si="62"/>
        <v>#DIV/0!</v>
      </c>
      <c r="X84" s="235">
        <f t="shared" si="86"/>
        <v>0</v>
      </c>
      <c r="Y84" s="236">
        <f t="shared" si="63"/>
        <v>5</v>
      </c>
      <c r="Z84" s="236" t="e">
        <f t="shared" si="64"/>
        <v>#DIV/0!</v>
      </c>
      <c r="AA84" s="236">
        <f t="shared" si="65"/>
        <v>3</v>
      </c>
      <c r="AB84" s="236" t="e">
        <f t="shared" si="66"/>
        <v>#DIV/0!</v>
      </c>
      <c r="AC84" s="235">
        <f t="shared" si="67"/>
        <v>0</v>
      </c>
      <c r="AD84" s="235">
        <f t="shared" si="68"/>
        <v>0</v>
      </c>
      <c r="AE84" s="279">
        <f t="shared" si="69"/>
        <v>0</v>
      </c>
      <c r="AF84" s="232">
        <f t="shared" si="70"/>
        <v>0</v>
      </c>
      <c r="AG84" s="235">
        <f t="shared" si="71"/>
        <v>0</v>
      </c>
      <c r="AH84" s="269">
        <f t="shared" si="72"/>
        <v>0</v>
      </c>
      <c r="AI84" s="232">
        <f t="shared" si="73"/>
        <v>0</v>
      </c>
      <c r="AJ84" s="235">
        <f t="shared" si="74"/>
        <v>0</v>
      </c>
      <c r="AK84" s="269">
        <f t="shared" si="75"/>
        <v>0</v>
      </c>
      <c r="AL84" s="269">
        <f t="shared" si="87"/>
        <v>0</v>
      </c>
      <c r="AM84" s="281" t="e">
        <f>IF(B84&gt;=mpfo,pos*vvm*Dados!$E$122*(ntudv-SUM(U85:$U$301))-SUM($AM$13:AM83),0)</f>
        <v>#DIV/0!</v>
      </c>
      <c r="AN84" s="269" t="e">
        <f t="shared" si="76"/>
        <v>#DIV/0!</v>
      </c>
      <c r="AO84" s="232" t="e">
        <f t="shared" si="77"/>
        <v>#DIV/0!</v>
      </c>
      <c r="AP84" s="242" t="e">
        <f t="shared" si="78"/>
        <v>#DIV/0!</v>
      </c>
      <c r="AQ84" s="235" t="e">
        <f>IF(AP84+SUM($AQ$12:AQ83)&gt;=0,0,-AP84-SUM($AQ$12:AQ83))</f>
        <v>#DIV/0!</v>
      </c>
      <c r="AR84" s="235">
        <f>IF(SUM($N$13:N83)&gt;=pmo,IF(SUM(N83:$N$501)&gt;(1-pmo),B84,0),0)</f>
        <v>0</v>
      </c>
      <c r="AS84" s="235" t="e">
        <f>IF((SUM($U$13:$U83)/ntudv)&gt;=pmv,IF((SUM($U83:$U$501)/ntudv)&gt;(1-pmv),B84,0),0)</f>
        <v>#DIV/0!</v>
      </c>
      <c r="AT84" s="237" t="e">
        <f>IF(MAX(mmo,mmv)=mmo,IF(B84=AR84,(SUM(N$13:$N83)-pmo)/((1-VLOOKUP(MAX(mmo,mmv)-1,$B$13:$O$501,14))+(VLOOKUP(MAX(mmo,mmv)-1,$B$13:$O$501,14)-pmo)),N83/((1-VLOOKUP(MAX(mmo,mmv)-1,$B$13:$O$501,14)+(VLOOKUP(MAX(mmo,mmv)-1,$B$13:$O$501,14)-pmo)))),N83/(1-VLOOKUP(MAX(mmo,mmv)-2,$B$13:$O$501,14)))</f>
        <v>#DIV/0!</v>
      </c>
      <c r="AU84" s="101" t="e">
        <f t="shared" si="88"/>
        <v>#DIV/0!</v>
      </c>
      <c r="AV84" s="287" t="e">
        <f t="shared" si="89"/>
        <v>#DIV/0!</v>
      </c>
      <c r="AW84" s="235" t="e">
        <f t="shared" si="79"/>
        <v>#DIV/0!</v>
      </c>
      <c r="AX84" s="281">
        <f>IF(B84&gt;mpfo,0,IF(B84=mpfo,(vld-teo*(1+tcfo-incc)^(MAX(mmo,mmv)-mbfo))*-1,IF(SUM($N$13:N83)&gt;=pmo,IF(($V83/ntudv)&gt;=pmv,IF(B84=MAX(mmo,mmv),-teo*(1+tcfo-incc)^(B84-mbfo),0),0),0)))</f>
        <v>0</v>
      </c>
      <c r="AY84" s="292" t="e">
        <f t="shared" si="90"/>
        <v>#DIV/0!</v>
      </c>
      <c r="AZ84" s="235" t="e">
        <f t="shared" si="80"/>
        <v>#DIV/0!</v>
      </c>
      <c r="BA84" s="269" t="e">
        <f t="shared" si="81"/>
        <v>#DIV/0!</v>
      </c>
      <c r="BB84" s="292" t="e">
        <f t="shared" si="82"/>
        <v>#DIV/0!</v>
      </c>
      <c r="BC84" s="238" t="e">
        <f>IF(SUM($BC$13:BC83)&gt;0,0,IF(BB84&gt;0,B84,0))</f>
        <v>#DIV/0!</v>
      </c>
      <c r="BD84" s="292" t="e">
        <f>IF(BB84+SUM($BD$12:BD83)&gt;=0,0,-BB84-SUM($BD$12:BD83))</f>
        <v>#DIV/0!</v>
      </c>
      <c r="BE84" s="235" t="e">
        <f>BB84+SUM($BD$12:BD84)</f>
        <v>#DIV/0!</v>
      </c>
      <c r="BF84" s="292" t="e">
        <f>-MIN(BE84:$BE$501)-SUM(BF$12:$BF83)</f>
        <v>#DIV/0!</v>
      </c>
      <c r="BG84" s="235" t="e">
        <f t="shared" si="93"/>
        <v>#DIV/0!</v>
      </c>
    </row>
    <row r="85" spans="2:59">
      <c r="B85" s="120">
        <v>72</v>
      </c>
      <c r="C85" s="241">
        <f t="shared" si="92"/>
        <v>44870</v>
      </c>
      <c r="D85" s="229">
        <f t="shared" si="48"/>
        <v>11</v>
      </c>
      <c r="E85" s="230" t="str">
        <f t="shared" si="49"/>
        <v>-</v>
      </c>
      <c r="F85" s="231">
        <f t="shared" si="50"/>
        <v>0</v>
      </c>
      <c r="G85" s="231">
        <f t="shared" si="51"/>
        <v>0</v>
      </c>
      <c r="H85" s="231">
        <f t="shared" si="52"/>
        <v>0</v>
      </c>
      <c r="I85" s="268">
        <f t="shared" si="83"/>
        <v>0</v>
      </c>
      <c r="J85" s="269">
        <f t="shared" si="53"/>
        <v>0</v>
      </c>
      <c r="K85" s="269">
        <f t="shared" si="54"/>
        <v>0</v>
      </c>
      <c r="L85" s="269">
        <f t="shared" si="84"/>
        <v>0</v>
      </c>
      <c r="M85" s="269">
        <f t="shared" si="85"/>
        <v>0</v>
      </c>
      <c r="N85" s="233">
        <f>VLOOKUP(B85,Dados!$L$86:$P$90,5)</f>
        <v>0</v>
      </c>
      <c r="O85" s="270">
        <f t="shared" si="55"/>
        <v>0.99999999999999989</v>
      </c>
      <c r="P85" s="269">
        <f t="shared" si="56"/>
        <v>0</v>
      </c>
      <c r="Q85" s="269" t="e">
        <f t="shared" si="57"/>
        <v>#DIV/0!</v>
      </c>
      <c r="R85" s="269">
        <f t="shared" si="58"/>
        <v>0</v>
      </c>
      <c r="S85" s="269" t="e">
        <f t="shared" si="59"/>
        <v>#DIV/0!</v>
      </c>
      <c r="T85" s="269" t="e">
        <f t="shared" si="91"/>
        <v>#DIV/0!</v>
      </c>
      <c r="U85" s="234">
        <f t="shared" si="60"/>
        <v>0</v>
      </c>
      <c r="V85" s="232" t="e">
        <f t="shared" si="61"/>
        <v>#DIV/0!</v>
      </c>
      <c r="W85" s="269" t="e">
        <f t="shared" si="62"/>
        <v>#DIV/0!</v>
      </c>
      <c r="X85" s="235">
        <f t="shared" si="86"/>
        <v>0</v>
      </c>
      <c r="Y85" s="236">
        <f t="shared" si="63"/>
        <v>5</v>
      </c>
      <c r="Z85" s="236" t="e">
        <f t="shared" si="64"/>
        <v>#DIV/0!</v>
      </c>
      <c r="AA85" s="236">
        <f t="shared" si="65"/>
        <v>3</v>
      </c>
      <c r="AB85" s="236" t="e">
        <f t="shared" si="66"/>
        <v>#DIV/0!</v>
      </c>
      <c r="AC85" s="235">
        <f t="shared" si="67"/>
        <v>0</v>
      </c>
      <c r="AD85" s="235">
        <f t="shared" si="68"/>
        <v>0</v>
      </c>
      <c r="AE85" s="279">
        <f t="shared" si="69"/>
        <v>0</v>
      </c>
      <c r="AF85" s="232">
        <f t="shared" si="70"/>
        <v>0</v>
      </c>
      <c r="AG85" s="235">
        <f t="shared" si="71"/>
        <v>0</v>
      </c>
      <c r="AH85" s="269">
        <f t="shared" si="72"/>
        <v>0</v>
      </c>
      <c r="AI85" s="232">
        <f t="shared" si="73"/>
        <v>0</v>
      </c>
      <c r="AJ85" s="235">
        <f t="shared" si="74"/>
        <v>0</v>
      </c>
      <c r="AK85" s="269">
        <f t="shared" si="75"/>
        <v>0</v>
      </c>
      <c r="AL85" s="269">
        <f t="shared" si="87"/>
        <v>0</v>
      </c>
      <c r="AM85" s="281" t="e">
        <f>IF(B85&gt;=mpfo,pos*vvm*Dados!$E$122*(ntudv-SUM(U86:$U$301))-SUM($AM$13:AM84),0)</f>
        <v>#DIV/0!</v>
      </c>
      <c r="AN85" s="269" t="e">
        <f t="shared" si="76"/>
        <v>#DIV/0!</v>
      </c>
      <c r="AO85" s="232" t="e">
        <f t="shared" si="77"/>
        <v>#DIV/0!</v>
      </c>
      <c r="AP85" s="242" t="e">
        <f t="shared" si="78"/>
        <v>#DIV/0!</v>
      </c>
      <c r="AQ85" s="235" t="e">
        <f>IF(AP85+SUM($AQ$12:AQ84)&gt;=0,0,-AP85-SUM($AQ$12:AQ84))</f>
        <v>#DIV/0!</v>
      </c>
      <c r="AR85" s="235">
        <f>IF(SUM($N$13:N84)&gt;=pmo,IF(SUM(N84:$N$501)&gt;(1-pmo),B85,0),0)</f>
        <v>0</v>
      </c>
      <c r="AS85" s="235" t="e">
        <f>IF((SUM($U$13:$U84)/ntudv)&gt;=pmv,IF((SUM($U84:$U$501)/ntudv)&gt;(1-pmv),B85,0),0)</f>
        <v>#DIV/0!</v>
      </c>
      <c r="AT85" s="237" t="e">
        <f>IF(MAX(mmo,mmv)=mmo,IF(B85=AR85,(SUM(N$13:$N84)-pmo)/((1-VLOOKUP(MAX(mmo,mmv)-1,$B$13:$O$501,14))+(VLOOKUP(MAX(mmo,mmv)-1,$B$13:$O$501,14)-pmo)),N84/((1-VLOOKUP(MAX(mmo,mmv)-1,$B$13:$O$501,14)+(VLOOKUP(MAX(mmo,mmv)-1,$B$13:$O$501,14)-pmo)))),N84/(1-VLOOKUP(MAX(mmo,mmv)-2,$B$13:$O$501,14)))</f>
        <v>#DIV/0!</v>
      </c>
      <c r="AU85" s="101" t="e">
        <f t="shared" si="88"/>
        <v>#DIV/0!</v>
      </c>
      <c r="AV85" s="287" t="e">
        <f t="shared" si="89"/>
        <v>#DIV/0!</v>
      </c>
      <c r="AW85" s="235" t="e">
        <f t="shared" si="79"/>
        <v>#DIV/0!</v>
      </c>
      <c r="AX85" s="281">
        <f>IF(B85&gt;mpfo,0,IF(B85=mpfo,(vld-teo*(1+tcfo-incc)^(MAX(mmo,mmv)-mbfo))*-1,IF(SUM($N$13:N84)&gt;=pmo,IF(($V84/ntudv)&gt;=pmv,IF(B85=MAX(mmo,mmv),-teo*(1+tcfo-incc)^(B85-mbfo),0),0),0)))</f>
        <v>0</v>
      </c>
      <c r="AY85" s="292" t="e">
        <f t="shared" si="90"/>
        <v>#DIV/0!</v>
      </c>
      <c r="AZ85" s="235" t="e">
        <f t="shared" si="80"/>
        <v>#DIV/0!</v>
      </c>
      <c r="BA85" s="269" t="e">
        <f t="shared" si="81"/>
        <v>#DIV/0!</v>
      </c>
      <c r="BB85" s="292" t="e">
        <f t="shared" si="82"/>
        <v>#DIV/0!</v>
      </c>
      <c r="BC85" s="238" t="e">
        <f>IF(SUM($BC$13:BC84)&gt;0,0,IF(BB85&gt;0,B85,0))</f>
        <v>#DIV/0!</v>
      </c>
      <c r="BD85" s="292" t="e">
        <f>IF(BB85+SUM($BD$12:BD84)&gt;=0,0,-BB85-SUM($BD$12:BD84))</f>
        <v>#DIV/0!</v>
      </c>
      <c r="BE85" s="235" t="e">
        <f>BB85+SUM($BD$12:BD85)</f>
        <v>#DIV/0!</v>
      </c>
      <c r="BF85" s="292" t="e">
        <f>-MIN(BE85:$BE$501)-SUM(BF$12:$BF84)</f>
        <v>#DIV/0!</v>
      </c>
      <c r="BG85" s="235" t="e">
        <f t="shared" si="93"/>
        <v>#DIV/0!</v>
      </c>
    </row>
    <row r="86" spans="2:59">
      <c r="B86" s="246">
        <v>73</v>
      </c>
      <c r="C86" s="241">
        <f t="shared" si="92"/>
        <v>44900</v>
      </c>
      <c r="D86" s="229">
        <f t="shared" si="48"/>
        <v>12</v>
      </c>
      <c r="E86" s="230" t="str">
        <f t="shared" si="49"/>
        <v>-</v>
      </c>
      <c r="F86" s="231">
        <f t="shared" si="50"/>
        <v>0</v>
      </c>
      <c r="G86" s="231">
        <f t="shared" si="51"/>
        <v>0</v>
      </c>
      <c r="H86" s="231">
        <f t="shared" si="52"/>
        <v>0</v>
      </c>
      <c r="I86" s="268">
        <f t="shared" si="83"/>
        <v>0</v>
      </c>
      <c r="J86" s="269">
        <f t="shared" si="53"/>
        <v>0</v>
      </c>
      <c r="K86" s="269">
        <f t="shared" si="54"/>
        <v>0</v>
      </c>
      <c r="L86" s="269">
        <f t="shared" si="84"/>
        <v>0</v>
      </c>
      <c r="M86" s="269">
        <f t="shared" si="85"/>
        <v>0</v>
      </c>
      <c r="N86" s="233">
        <f>VLOOKUP(B86,Dados!$L$86:$P$90,5)</f>
        <v>0</v>
      </c>
      <c r="O86" s="270">
        <f t="shared" si="55"/>
        <v>0.99999999999999989</v>
      </c>
      <c r="P86" s="269">
        <f t="shared" si="56"/>
        <v>0</v>
      </c>
      <c r="Q86" s="269" t="e">
        <f t="shared" si="57"/>
        <v>#DIV/0!</v>
      </c>
      <c r="R86" s="269">
        <f t="shared" si="58"/>
        <v>0</v>
      </c>
      <c r="S86" s="269" t="e">
        <f t="shared" si="59"/>
        <v>#DIV/0!</v>
      </c>
      <c r="T86" s="269" t="e">
        <f t="shared" si="91"/>
        <v>#DIV/0!</v>
      </c>
      <c r="U86" s="234">
        <f t="shared" si="60"/>
        <v>0</v>
      </c>
      <c r="V86" s="232" t="e">
        <f t="shared" si="61"/>
        <v>#DIV/0!</v>
      </c>
      <c r="W86" s="269" t="e">
        <f t="shared" si="62"/>
        <v>#DIV/0!</v>
      </c>
      <c r="X86" s="235">
        <f t="shared" si="86"/>
        <v>0</v>
      </c>
      <c r="Y86" s="236">
        <f t="shared" si="63"/>
        <v>5</v>
      </c>
      <c r="Z86" s="236" t="e">
        <f t="shared" si="64"/>
        <v>#DIV/0!</v>
      </c>
      <c r="AA86" s="236">
        <f t="shared" si="65"/>
        <v>3</v>
      </c>
      <c r="AB86" s="236" t="e">
        <f t="shared" si="66"/>
        <v>#DIV/0!</v>
      </c>
      <c r="AC86" s="235">
        <f t="shared" si="67"/>
        <v>0</v>
      </c>
      <c r="AD86" s="235">
        <f t="shared" si="68"/>
        <v>0</v>
      </c>
      <c r="AE86" s="279">
        <f t="shared" si="69"/>
        <v>0</v>
      </c>
      <c r="AF86" s="232">
        <f t="shared" si="70"/>
        <v>1</v>
      </c>
      <c r="AG86" s="235">
        <f t="shared" si="71"/>
        <v>0</v>
      </c>
      <c r="AH86" s="269">
        <f t="shared" si="72"/>
        <v>0</v>
      </c>
      <c r="AI86" s="232">
        <f t="shared" si="73"/>
        <v>1</v>
      </c>
      <c r="AJ86" s="235">
        <f t="shared" si="74"/>
        <v>0</v>
      </c>
      <c r="AK86" s="269">
        <f t="shared" si="75"/>
        <v>0</v>
      </c>
      <c r="AL86" s="269">
        <f t="shared" si="87"/>
        <v>0</v>
      </c>
      <c r="AM86" s="281" t="e">
        <f>IF(B86&gt;=mpfo,pos*vvm*Dados!$E$122*(ntudv-SUM(U87:$U$301))-SUM($AM$13:AM85),0)</f>
        <v>#DIV/0!</v>
      </c>
      <c r="AN86" s="269" t="e">
        <f t="shared" si="76"/>
        <v>#DIV/0!</v>
      </c>
      <c r="AO86" s="232" t="e">
        <f t="shared" si="77"/>
        <v>#DIV/0!</v>
      </c>
      <c r="AP86" s="242" t="e">
        <f t="shared" si="78"/>
        <v>#DIV/0!</v>
      </c>
      <c r="AQ86" s="235" t="e">
        <f>IF(AP86+SUM($AQ$12:AQ85)&gt;=0,0,-AP86-SUM($AQ$12:AQ85))</f>
        <v>#DIV/0!</v>
      </c>
      <c r="AR86" s="235">
        <f>IF(SUM($N$13:N85)&gt;=pmo,IF(SUM(N85:$N$501)&gt;(1-pmo),B86,0),0)</f>
        <v>0</v>
      </c>
      <c r="AS86" s="235" t="e">
        <f>IF((SUM($U$13:$U85)/ntudv)&gt;=pmv,IF((SUM($U85:$U$501)/ntudv)&gt;(1-pmv),B86,0),0)</f>
        <v>#DIV/0!</v>
      </c>
      <c r="AT86" s="237" t="e">
        <f>IF(MAX(mmo,mmv)=mmo,IF(B86=AR86,(SUM(N$13:$N85)-pmo)/((1-VLOOKUP(MAX(mmo,mmv)-1,$B$13:$O$501,14))+(VLOOKUP(MAX(mmo,mmv)-1,$B$13:$O$501,14)-pmo)),N85/((1-VLOOKUP(MAX(mmo,mmv)-1,$B$13:$O$501,14)+(VLOOKUP(MAX(mmo,mmv)-1,$B$13:$O$501,14)-pmo)))),N85/(1-VLOOKUP(MAX(mmo,mmv)-2,$B$13:$O$501,14)))</f>
        <v>#DIV/0!</v>
      </c>
      <c r="AU86" s="101" t="e">
        <f t="shared" si="88"/>
        <v>#DIV/0!</v>
      </c>
      <c r="AV86" s="287" t="e">
        <f t="shared" si="89"/>
        <v>#DIV/0!</v>
      </c>
      <c r="AW86" s="235" t="e">
        <f t="shared" si="79"/>
        <v>#DIV/0!</v>
      </c>
      <c r="AX86" s="281">
        <f>IF(B86&gt;mpfo,0,IF(B86=mpfo,(vld-teo*(1+tcfo-incc)^(MAX(mmo,mmv)-mbfo))*-1,IF(SUM($N$13:N85)&gt;=pmo,IF(($V85/ntudv)&gt;=pmv,IF(B86=MAX(mmo,mmv),-teo*(1+tcfo-incc)^(B86-mbfo),0),0),0)))</f>
        <v>0</v>
      </c>
      <c r="AY86" s="292" t="e">
        <f t="shared" si="90"/>
        <v>#DIV/0!</v>
      </c>
      <c r="AZ86" s="235" t="e">
        <f t="shared" si="80"/>
        <v>#DIV/0!</v>
      </c>
      <c r="BA86" s="269" t="e">
        <f t="shared" si="81"/>
        <v>#DIV/0!</v>
      </c>
      <c r="BB86" s="292" t="e">
        <f t="shared" si="82"/>
        <v>#DIV/0!</v>
      </c>
      <c r="BC86" s="238" t="e">
        <f>IF(SUM($BC$13:BC85)&gt;0,0,IF(BB86&gt;0,B86,0))</f>
        <v>#DIV/0!</v>
      </c>
      <c r="BD86" s="292" t="e">
        <f>IF(BB86+SUM($BD$12:BD85)&gt;=0,0,-BB86-SUM($BD$12:BD85))</f>
        <v>#DIV/0!</v>
      </c>
      <c r="BE86" s="235" t="e">
        <f>BB86+SUM($BD$12:BD86)</f>
        <v>#DIV/0!</v>
      </c>
      <c r="BF86" s="292" t="e">
        <f>-MIN(BE86:$BE$501)-SUM(BF$12:$BF85)</f>
        <v>#DIV/0!</v>
      </c>
      <c r="BG86" s="235" t="e">
        <f t="shared" si="93"/>
        <v>#DIV/0!</v>
      </c>
    </row>
    <row r="87" spans="2:59">
      <c r="B87" s="120">
        <v>74</v>
      </c>
      <c r="C87" s="241">
        <f t="shared" si="92"/>
        <v>44931</v>
      </c>
      <c r="D87" s="229">
        <f t="shared" si="48"/>
        <v>1</v>
      </c>
      <c r="E87" s="230" t="str">
        <f t="shared" si="49"/>
        <v>-</v>
      </c>
      <c r="F87" s="231">
        <f t="shared" si="50"/>
        <v>0</v>
      </c>
      <c r="G87" s="231">
        <f t="shared" si="51"/>
        <v>0</v>
      </c>
      <c r="H87" s="231">
        <f t="shared" si="52"/>
        <v>0</v>
      </c>
      <c r="I87" s="268">
        <f t="shared" si="83"/>
        <v>0</v>
      </c>
      <c r="J87" s="269">
        <f t="shared" si="53"/>
        <v>0</v>
      </c>
      <c r="K87" s="269">
        <f t="shared" si="54"/>
        <v>0</v>
      </c>
      <c r="L87" s="269">
        <f t="shared" si="84"/>
        <v>0</v>
      </c>
      <c r="M87" s="269">
        <f t="shared" si="85"/>
        <v>0</v>
      </c>
      <c r="N87" s="233">
        <f>VLOOKUP(B87,Dados!$L$86:$P$90,5)</f>
        <v>0</v>
      </c>
      <c r="O87" s="270">
        <f t="shared" si="55"/>
        <v>0.99999999999999989</v>
      </c>
      <c r="P87" s="269">
        <f t="shared" si="56"/>
        <v>0</v>
      </c>
      <c r="Q87" s="269" t="e">
        <f t="shared" si="57"/>
        <v>#DIV/0!</v>
      </c>
      <c r="R87" s="269">
        <f t="shared" si="58"/>
        <v>0</v>
      </c>
      <c r="S87" s="269" t="e">
        <f t="shared" si="59"/>
        <v>#DIV/0!</v>
      </c>
      <c r="T87" s="269" t="e">
        <f t="shared" si="91"/>
        <v>#DIV/0!</v>
      </c>
      <c r="U87" s="234">
        <f t="shared" si="60"/>
        <v>0</v>
      </c>
      <c r="V87" s="232" t="e">
        <f t="shared" si="61"/>
        <v>#DIV/0!</v>
      </c>
      <c r="W87" s="269" t="e">
        <f t="shared" si="62"/>
        <v>#DIV/0!</v>
      </c>
      <c r="X87" s="235">
        <f t="shared" si="86"/>
        <v>0</v>
      </c>
      <c r="Y87" s="236">
        <f t="shared" si="63"/>
        <v>5</v>
      </c>
      <c r="Z87" s="236" t="e">
        <f t="shared" si="64"/>
        <v>#DIV/0!</v>
      </c>
      <c r="AA87" s="236">
        <f t="shared" si="65"/>
        <v>3</v>
      </c>
      <c r="AB87" s="236" t="e">
        <f t="shared" si="66"/>
        <v>#DIV/0!</v>
      </c>
      <c r="AC87" s="235">
        <f t="shared" si="67"/>
        <v>0</v>
      </c>
      <c r="AD87" s="235">
        <f t="shared" si="68"/>
        <v>0</v>
      </c>
      <c r="AE87" s="279">
        <f t="shared" si="69"/>
        <v>0</v>
      </c>
      <c r="AF87" s="232">
        <f t="shared" si="70"/>
        <v>0</v>
      </c>
      <c r="AG87" s="235">
        <f t="shared" si="71"/>
        <v>0</v>
      </c>
      <c r="AH87" s="269">
        <f t="shared" si="72"/>
        <v>0</v>
      </c>
      <c r="AI87" s="232">
        <f t="shared" si="73"/>
        <v>0</v>
      </c>
      <c r="AJ87" s="235">
        <f t="shared" si="74"/>
        <v>0</v>
      </c>
      <c r="AK87" s="269">
        <f t="shared" si="75"/>
        <v>0</v>
      </c>
      <c r="AL87" s="269">
        <f t="shared" si="87"/>
        <v>0</v>
      </c>
      <c r="AM87" s="281" t="e">
        <f>IF(B87&gt;=mpfo,pos*vvm*Dados!$E$122*(ntudv-SUM(U88:$U$301))-SUM($AM$13:AM86),0)</f>
        <v>#DIV/0!</v>
      </c>
      <c r="AN87" s="269" t="e">
        <f t="shared" si="76"/>
        <v>#DIV/0!</v>
      </c>
      <c r="AO87" s="232" t="e">
        <f t="shared" si="77"/>
        <v>#DIV/0!</v>
      </c>
      <c r="AP87" s="242" t="e">
        <f t="shared" si="78"/>
        <v>#DIV/0!</v>
      </c>
      <c r="AQ87" s="235" t="e">
        <f>IF(AP87+SUM($AQ$12:AQ86)&gt;=0,0,-AP87-SUM($AQ$12:AQ86))</f>
        <v>#DIV/0!</v>
      </c>
      <c r="AR87" s="235">
        <f>IF(SUM($N$13:N86)&gt;=pmo,IF(SUM(N86:$N$501)&gt;(1-pmo),B87,0),0)</f>
        <v>0</v>
      </c>
      <c r="AS87" s="235" t="e">
        <f>IF((SUM($U$13:$U86)/ntudv)&gt;=pmv,IF((SUM($U86:$U$501)/ntudv)&gt;(1-pmv),B87,0),0)</f>
        <v>#DIV/0!</v>
      </c>
      <c r="AT87" s="237" t="e">
        <f>IF(MAX(mmo,mmv)=mmo,IF(B87=AR87,(SUM(N$13:$N86)-pmo)/((1-VLOOKUP(MAX(mmo,mmv)-1,$B$13:$O$501,14))+(VLOOKUP(MAX(mmo,mmv)-1,$B$13:$O$501,14)-pmo)),N86/((1-VLOOKUP(MAX(mmo,mmv)-1,$B$13:$O$501,14)+(VLOOKUP(MAX(mmo,mmv)-1,$B$13:$O$501,14)-pmo)))),N86/(1-VLOOKUP(MAX(mmo,mmv)-2,$B$13:$O$501,14)))</f>
        <v>#DIV/0!</v>
      </c>
      <c r="AU87" s="101" t="e">
        <f t="shared" si="88"/>
        <v>#DIV/0!</v>
      </c>
      <c r="AV87" s="287" t="e">
        <f t="shared" si="89"/>
        <v>#DIV/0!</v>
      </c>
      <c r="AW87" s="235" t="e">
        <f t="shared" si="79"/>
        <v>#DIV/0!</v>
      </c>
      <c r="AX87" s="281">
        <f>IF(B87&gt;mpfo,0,IF(B87=mpfo,(vld-teo*(1+tcfo-incc)^(MAX(mmo,mmv)-mbfo))*-1,IF(SUM($N$13:N86)&gt;=pmo,IF(($V86/ntudv)&gt;=pmv,IF(B87=MAX(mmo,mmv),-teo*(1+tcfo-incc)^(B87-mbfo),0),0),0)))</f>
        <v>0</v>
      </c>
      <c r="AY87" s="292" t="e">
        <f t="shared" si="90"/>
        <v>#DIV/0!</v>
      </c>
      <c r="AZ87" s="235" t="e">
        <f t="shared" si="80"/>
        <v>#DIV/0!</v>
      </c>
      <c r="BA87" s="269" t="e">
        <f t="shared" si="81"/>
        <v>#DIV/0!</v>
      </c>
      <c r="BB87" s="292" t="e">
        <f t="shared" si="82"/>
        <v>#DIV/0!</v>
      </c>
      <c r="BC87" s="238" t="e">
        <f>IF(SUM($BC$13:BC86)&gt;0,0,IF(BB87&gt;0,B87,0))</f>
        <v>#DIV/0!</v>
      </c>
      <c r="BD87" s="292" t="e">
        <f>IF(BB87+SUM($BD$12:BD86)&gt;=0,0,-BB87-SUM($BD$12:BD86))</f>
        <v>#DIV/0!</v>
      </c>
      <c r="BE87" s="235" t="e">
        <f>BB87+SUM($BD$12:BD87)</f>
        <v>#DIV/0!</v>
      </c>
      <c r="BF87" s="292" t="e">
        <f>-MIN(BE87:$BE$501)-SUM(BF$12:$BF86)</f>
        <v>#DIV/0!</v>
      </c>
      <c r="BG87" s="235" t="e">
        <f t="shared" si="93"/>
        <v>#DIV/0!</v>
      </c>
    </row>
    <row r="88" spans="2:59">
      <c r="B88" s="246">
        <v>75</v>
      </c>
      <c r="C88" s="241">
        <f t="shared" si="92"/>
        <v>44962</v>
      </c>
      <c r="D88" s="229">
        <f t="shared" ref="D88:D151" si="94">MONTH(C88)</f>
        <v>2</v>
      </c>
      <c r="E88" s="230" t="str">
        <f t="shared" ref="E88:E151" si="95">IF(B88=mpo,"Outorga",IF(B88=mpt,"Terreno",IF(B88=mlan,"Lançamento", IF(B88=mio,"Inic. Obras",IF(B88=mio+prazo-1,"Concl. Obras",IF(B88=mec,"Chaves", IF(B88=mpfo,"Pgto. Financ.","-")))))))</f>
        <v>-</v>
      </c>
      <c r="F88" s="231">
        <f t="shared" ref="F88:F151" si="96">IF(B88=mpo, voo,0)</f>
        <v>0</v>
      </c>
      <c r="G88" s="231">
        <f t="shared" ref="G88:G151" si="97">IF(B88&gt;(mpt+npt),0,IF(B88&lt;(mpt+npt+1),IF(B88&gt;mpt,(vtd-vst)/npt/(igpm+1)^B88,IF(B88=mpt,vst/(igpm+1)^B88,0))))</f>
        <v>0</v>
      </c>
      <c r="H88" s="231">
        <f t="shared" ref="H88:H151" si="98">IF(B88&gt;(mpt+npt),0,IF(B88&lt;(mpt+npt+1),IF(B88&gt;mpt,(vtd-vst)/npt/(delta+1)^B88,IF(B88=mpt,vst/(delta+1)^B88,0))))</f>
        <v>0</v>
      </c>
      <c r="I88" s="268">
        <f t="shared" si="83"/>
        <v>0</v>
      </c>
      <c r="J88" s="269">
        <f t="shared" ref="J88:J151" si="99">IF(B88=mpdt,dtt,0)*-1</f>
        <v>0</v>
      </c>
      <c r="K88" s="269">
        <f t="shared" ref="K88:K151" si="100">IF(B88&gt;mdji+npdji,0,IF(B88&lt;mdji+npdji,IF(B88&gt;=mdji,dji*vgv/npdji,0),0))*-1</f>
        <v>0</v>
      </c>
      <c r="L88" s="269">
        <f t="shared" si="84"/>
        <v>0</v>
      </c>
      <c r="M88" s="269">
        <f t="shared" si="85"/>
        <v>0</v>
      </c>
      <c r="N88" s="233">
        <f>VLOOKUP(B88,Dados!$L$86:$P$90,5)</f>
        <v>0</v>
      </c>
      <c r="O88" s="270">
        <f t="shared" ref="O88:O151" si="101">N88+O87</f>
        <v>0.99999999999999989</v>
      </c>
      <c r="P88" s="269">
        <f t="shared" ref="P88:P151" si="102">N88*cto*-1</f>
        <v>0</v>
      </c>
      <c r="Q88" s="269" t="e">
        <f t="shared" ref="Q88:Q151" si="103">AN88*pimp*-1</f>
        <v>#DIV/0!</v>
      </c>
      <c r="R88" s="269">
        <f t="shared" ref="R88:R151" si="104">IF(B88&gt;=1,IF(B88&lt;=(mec+6),padm*vgv/(mec+6),0),0)*-1</f>
        <v>0</v>
      </c>
      <c r="S88" s="269" t="e">
        <f t="shared" ref="S88:S151" si="105">U88*vvm*pcorr*-1</f>
        <v>#DIV/0!</v>
      </c>
      <c r="T88" s="269" t="e">
        <f t="shared" si="91"/>
        <v>#DIV/0!</v>
      </c>
      <c r="U88" s="234">
        <f t="shared" ref="U88:U151" si="106">VLOOKUP(B88,tabvv,4)</f>
        <v>0</v>
      </c>
      <c r="V88" s="232" t="e">
        <f t="shared" ref="V88:V151" si="107">V87+U88</f>
        <v>#DIV/0!</v>
      </c>
      <c r="W88" s="269" t="e">
        <f t="shared" ref="W88:W151" si="108">U88*vvm*sinal+X88+Z88+AB88</f>
        <v>#DIV/0!</v>
      </c>
      <c r="X88" s="235">
        <f t="shared" si="86"/>
        <v>0</v>
      </c>
      <c r="Y88" s="236">
        <f t="shared" ref="Y88:Y151" si="109">IF($B88&gt;mlan+5,IF($B88&lt;=mco,Y87+$AF87,+Y87),0)</f>
        <v>5</v>
      </c>
      <c r="Z88" s="236" t="e">
        <f t="shared" ref="Z88:Z151" si="110">Y88*vvm*sem*U88/npse</f>
        <v>#DIV/0!</v>
      </c>
      <c r="AA88" s="236">
        <f t="shared" ref="AA88:AA151" si="111">IF($B88&gt;mlan+5,IF($B88&lt;=mco,AA87+$AI87,+AA87),0)</f>
        <v>3</v>
      </c>
      <c r="AB88" s="236" t="e">
        <f t="shared" ref="AB88:AB151" si="112">AA88*vvm*anu*U88/npa</f>
        <v>#DIV/0!</v>
      </c>
      <c r="AC88" s="235">
        <f t="shared" ref="AC88:AC151" si="113">IF(B88&gt;=mec,0,V87*mdo*vvm/npm)</f>
        <v>0</v>
      </c>
      <c r="AD88" s="235">
        <f t="shared" ref="AD88:AD151" si="114">IF(B88&gt;mec,IF(B88&lt;=mec+npfd,pmtfd*nufd,0),0)</f>
        <v>0</v>
      </c>
      <c r="AE88" s="279">
        <f t="shared" ref="AE88:AE151" si="115">AD88+AC88</f>
        <v>0</v>
      </c>
      <c r="AF88" s="232">
        <f t="shared" ref="AF88:AF151" si="116">IF(D88=6,1,IF(D88=12,1,0))</f>
        <v>0</v>
      </c>
      <c r="AG88" s="235">
        <f t="shared" ref="AG88:AG151" si="117">IF($B88&gt;mlan+5,IF($B88&lt;=mco,$AG87+$AF88,0),0)</f>
        <v>0</v>
      </c>
      <c r="AH88" s="269">
        <f t="shared" ref="AH88:AH151" si="118">IF(B88&gt;=mlan+5,IF(B88&lt;=mco,V88*vvm*sem*AF88/npse,0),0)</f>
        <v>0</v>
      </c>
      <c r="AI88" s="232">
        <f t="shared" ref="AI88:AI151" si="119">IF(D88=12,1,0)</f>
        <v>0</v>
      </c>
      <c r="AJ88" s="235">
        <f t="shared" ref="AJ88:AJ151" si="120">IF(B87&gt;=mlan+5,IF(B87&lt;mco,AJ87+AI88,0),0)</f>
        <v>0</v>
      </c>
      <c r="AK88" s="269">
        <f t="shared" ref="AK88:AK151" si="121">IF(B88&lt;=mco,IF(B88&gt;=mlan+5,V88*vvm*anu/npa*AI88,0),0)</f>
        <v>0</v>
      </c>
      <c r="AL88" s="269">
        <f t="shared" si="87"/>
        <v>0</v>
      </c>
      <c r="AM88" s="281" t="e">
        <f>IF(B88&gt;=mpfo,pos*vvm*Dados!$E$122*(ntudv-SUM(U89:$U$301))-SUM($AM$13:AM87),0)</f>
        <v>#DIV/0!</v>
      </c>
      <c r="AN88" s="269" t="e">
        <f t="shared" ref="AN88:AN151" si="122">AL88+AK88+AH88+AE88+W88+AM88</f>
        <v>#DIV/0!</v>
      </c>
      <c r="AO88" s="232" t="e">
        <f t="shared" ref="AO88:AO151" si="123">AN88+T88</f>
        <v>#DIV/0!</v>
      </c>
      <c r="AP88" s="242" t="e">
        <f t="shared" ref="AP88:AP151" si="124">AP87+AO88</f>
        <v>#DIV/0!</v>
      </c>
      <c r="AQ88" s="235" t="e">
        <f>IF(AP88+SUM($AQ$12:AQ87)&gt;=0,0,-AP88-SUM($AQ$12:AQ87))</f>
        <v>#DIV/0!</v>
      </c>
      <c r="AR88" s="235">
        <f>IF(SUM($N$13:N87)&gt;=pmo,IF(SUM(N87:$N$501)&gt;(1-pmo),B88,0),0)</f>
        <v>0</v>
      </c>
      <c r="AS88" s="235" t="e">
        <f>IF((SUM($U$13:$U87)/ntudv)&gt;=pmv,IF((SUM($U87:$U$501)/ntudv)&gt;(1-pmv),B88,0),0)</f>
        <v>#DIV/0!</v>
      </c>
      <c r="AT88" s="237" t="e">
        <f>IF(MAX(mmo,mmv)=mmo,IF(B88=AR88,(SUM(N$13:$N87)-pmo)/((1-VLOOKUP(MAX(mmo,mmv)-1,$B$13:$O$501,14))+(VLOOKUP(MAX(mmo,mmv)-1,$B$13:$O$501,14)-pmo)),N87/((1-VLOOKUP(MAX(mmo,mmv)-1,$B$13:$O$501,14)+(VLOOKUP(MAX(mmo,mmv)-1,$B$13:$O$501,14)-pmo)))),N87/(1-VLOOKUP(MAX(mmo,mmv)-2,$B$13:$O$501,14)))</f>
        <v>#DIV/0!</v>
      </c>
      <c r="AU88" s="101" t="e">
        <f t="shared" si="88"/>
        <v>#DIV/0!</v>
      </c>
      <c r="AV88" s="287" t="e">
        <f t="shared" si="89"/>
        <v>#DIV/0!</v>
      </c>
      <c r="AW88" s="235" t="e">
        <f t="shared" ref="AW88:AW151" si="125">AV88+AZ87*(1+jfo)</f>
        <v>#DIV/0!</v>
      </c>
      <c r="AX88" s="281">
        <f>IF(B88&gt;mpfo,0,IF(B88=mpfo,(vld-teo*(1+tcfo-incc)^(MAX(mmo,mmv)-mbfo))*-1,IF(SUM($N$13:N87)&gt;=pmo,IF(($V87/ntudv)&gt;=pmv,IF(B88=MAX(mmo,mmv),-teo*(1+tcfo-incc)^(B88-mbfo),0),0),0)))</f>
        <v>0</v>
      </c>
      <c r="AY88" s="292" t="e">
        <f t="shared" si="90"/>
        <v>#DIV/0!</v>
      </c>
      <c r="AZ88" s="235" t="e">
        <f t="shared" ref="AZ88:AZ151" si="126">AW88+AX88+AY88</f>
        <v>#DIV/0!</v>
      </c>
      <c r="BA88" s="269" t="e">
        <f t="shared" ref="BA88:BA151" si="127">AO88+AV88+AX88+AY88</f>
        <v>#DIV/0!</v>
      </c>
      <c r="BB88" s="292" t="e">
        <f t="shared" ref="BB88:BB151" si="128">BB87+BA88</f>
        <v>#DIV/0!</v>
      </c>
      <c r="BC88" s="238" t="e">
        <f>IF(SUM($BC$13:BC87)&gt;0,0,IF(BB88&gt;0,B88,0))</f>
        <v>#DIV/0!</v>
      </c>
      <c r="BD88" s="292" t="e">
        <f>IF(BB88+SUM($BD$12:BD87)&gt;=0,0,-BB88-SUM($BD$12:BD87))</f>
        <v>#DIV/0!</v>
      </c>
      <c r="BE88" s="235" t="e">
        <f>BB88+SUM($BD$12:BD88)</f>
        <v>#DIV/0!</v>
      </c>
      <c r="BF88" s="292" t="e">
        <f>-MIN(BE88:$BE$501)-SUM(BF$12:$BF87)</f>
        <v>#DIV/0!</v>
      </c>
      <c r="BG88" s="235" t="e">
        <f t="shared" si="93"/>
        <v>#DIV/0!</v>
      </c>
    </row>
    <row r="89" spans="2:59">
      <c r="B89" s="120">
        <v>76</v>
      </c>
      <c r="C89" s="241">
        <f t="shared" si="92"/>
        <v>44990</v>
      </c>
      <c r="D89" s="229">
        <f t="shared" si="94"/>
        <v>3</v>
      </c>
      <c r="E89" s="230" t="str">
        <f t="shared" si="95"/>
        <v>-</v>
      </c>
      <c r="F89" s="231">
        <f t="shared" si="96"/>
        <v>0</v>
      </c>
      <c r="G89" s="231">
        <f t="shared" si="97"/>
        <v>0</v>
      </c>
      <c r="H89" s="231">
        <f t="shared" si="98"/>
        <v>0</v>
      </c>
      <c r="I89" s="268">
        <f t="shared" si="83"/>
        <v>0</v>
      </c>
      <c r="J89" s="269">
        <f t="shared" si="99"/>
        <v>0</v>
      </c>
      <c r="K89" s="269">
        <f t="shared" si="100"/>
        <v>0</v>
      </c>
      <c r="L89" s="269">
        <f t="shared" si="84"/>
        <v>0</v>
      </c>
      <c r="M89" s="269">
        <f t="shared" si="85"/>
        <v>0</v>
      </c>
      <c r="N89" s="233">
        <f>VLOOKUP(B89,Dados!$L$86:$P$90,5)</f>
        <v>0</v>
      </c>
      <c r="O89" s="270">
        <f t="shared" si="101"/>
        <v>0.99999999999999989</v>
      </c>
      <c r="P89" s="269">
        <f t="shared" si="102"/>
        <v>0</v>
      </c>
      <c r="Q89" s="269" t="e">
        <f t="shared" si="103"/>
        <v>#DIV/0!</v>
      </c>
      <c r="R89" s="269">
        <f t="shared" si="104"/>
        <v>0</v>
      </c>
      <c r="S89" s="269" t="e">
        <f t="shared" si="105"/>
        <v>#DIV/0!</v>
      </c>
      <c r="T89" s="269" t="e">
        <f t="shared" si="91"/>
        <v>#DIV/0!</v>
      </c>
      <c r="U89" s="234">
        <f t="shared" si="106"/>
        <v>0</v>
      </c>
      <c r="V89" s="232" t="e">
        <f t="shared" si="107"/>
        <v>#DIV/0!</v>
      </c>
      <c r="W89" s="269" t="e">
        <f t="shared" si="108"/>
        <v>#DIV/0!</v>
      </c>
      <c r="X89" s="235">
        <f t="shared" si="86"/>
        <v>0</v>
      </c>
      <c r="Y89" s="236">
        <f t="shared" si="109"/>
        <v>5</v>
      </c>
      <c r="Z89" s="236" t="e">
        <f t="shared" si="110"/>
        <v>#DIV/0!</v>
      </c>
      <c r="AA89" s="236">
        <f t="shared" si="111"/>
        <v>3</v>
      </c>
      <c r="AB89" s="236" t="e">
        <f t="shared" si="112"/>
        <v>#DIV/0!</v>
      </c>
      <c r="AC89" s="235">
        <f t="shared" si="113"/>
        <v>0</v>
      </c>
      <c r="AD89" s="235">
        <f t="shared" si="114"/>
        <v>0</v>
      </c>
      <c r="AE89" s="279">
        <f t="shared" si="115"/>
        <v>0</v>
      </c>
      <c r="AF89" s="232">
        <f t="shared" si="116"/>
        <v>0</v>
      </c>
      <c r="AG89" s="235">
        <f t="shared" si="117"/>
        <v>0</v>
      </c>
      <c r="AH89" s="269">
        <f t="shared" si="118"/>
        <v>0</v>
      </c>
      <c r="AI89" s="232">
        <f t="shared" si="119"/>
        <v>0</v>
      </c>
      <c r="AJ89" s="235">
        <f t="shared" si="120"/>
        <v>0</v>
      </c>
      <c r="AK89" s="269">
        <f t="shared" si="121"/>
        <v>0</v>
      </c>
      <c r="AL89" s="269">
        <f t="shared" si="87"/>
        <v>0</v>
      </c>
      <c r="AM89" s="281" t="e">
        <f>IF(B89&gt;=mpfo,pos*vvm*Dados!$E$122*(ntudv-SUM(U90:$U$301))-SUM($AM$13:AM88),0)</f>
        <v>#DIV/0!</v>
      </c>
      <c r="AN89" s="269" t="e">
        <f t="shared" si="122"/>
        <v>#DIV/0!</v>
      </c>
      <c r="AO89" s="232" t="e">
        <f t="shared" si="123"/>
        <v>#DIV/0!</v>
      </c>
      <c r="AP89" s="242" t="e">
        <f t="shared" si="124"/>
        <v>#DIV/0!</v>
      </c>
      <c r="AQ89" s="235" t="e">
        <f>IF(AP89+SUM($AQ$12:AQ88)&gt;=0,0,-AP89-SUM($AQ$12:AQ88))</f>
        <v>#DIV/0!</v>
      </c>
      <c r="AR89" s="235">
        <f>IF(SUM($N$13:N88)&gt;=pmo,IF(SUM(N88:$N$501)&gt;(1-pmo),B89,0),0)</f>
        <v>0</v>
      </c>
      <c r="AS89" s="235" t="e">
        <f>IF((SUM($U$13:$U88)/ntudv)&gt;=pmv,IF((SUM($U88:$U$501)/ntudv)&gt;(1-pmv),B89,0),0)</f>
        <v>#DIV/0!</v>
      </c>
      <c r="AT89" s="237" t="e">
        <f>IF(MAX(mmo,mmv)=mmo,IF(B89=AR89,(SUM(N$13:$N88)-pmo)/((1-VLOOKUP(MAX(mmo,mmv)-1,$B$13:$O$501,14))+(VLOOKUP(MAX(mmo,mmv)-1,$B$13:$O$501,14)-pmo)),N88/((1-VLOOKUP(MAX(mmo,mmv)-1,$B$13:$O$501,14)+(VLOOKUP(MAX(mmo,mmv)-1,$B$13:$O$501,14)-pmo)))),N88/(1-VLOOKUP(MAX(mmo,mmv)-2,$B$13:$O$501,14)))</f>
        <v>#DIV/0!</v>
      </c>
      <c r="AU89" s="101" t="e">
        <f t="shared" si="88"/>
        <v>#DIV/0!</v>
      </c>
      <c r="AV89" s="287" t="e">
        <f t="shared" si="89"/>
        <v>#DIV/0!</v>
      </c>
      <c r="AW89" s="235" t="e">
        <f t="shared" si="125"/>
        <v>#DIV/0!</v>
      </c>
      <c r="AX89" s="281">
        <f>IF(B89&gt;mpfo,0,IF(B89=mpfo,(vld-teo*(1+tcfo-incc)^(MAX(mmo,mmv)-mbfo))*-1,IF(SUM($N$13:N88)&gt;=pmo,IF(($V88/ntudv)&gt;=pmv,IF(B89=MAX(mmo,mmv),-teo*(1+tcfo-incc)^(B89-mbfo),0),0),0)))</f>
        <v>0</v>
      </c>
      <c r="AY89" s="292" t="e">
        <f t="shared" si="90"/>
        <v>#DIV/0!</v>
      </c>
      <c r="AZ89" s="235" t="e">
        <f t="shared" si="126"/>
        <v>#DIV/0!</v>
      </c>
      <c r="BA89" s="269" t="e">
        <f t="shared" si="127"/>
        <v>#DIV/0!</v>
      </c>
      <c r="BB89" s="292" t="e">
        <f t="shared" si="128"/>
        <v>#DIV/0!</v>
      </c>
      <c r="BC89" s="238" t="e">
        <f>IF(SUM($BC$13:BC88)&gt;0,0,IF(BB89&gt;0,B89,0))</f>
        <v>#DIV/0!</v>
      </c>
      <c r="BD89" s="292" t="e">
        <f>IF(BB89+SUM($BD$12:BD88)&gt;=0,0,-BB89-SUM($BD$12:BD88))</f>
        <v>#DIV/0!</v>
      </c>
      <c r="BE89" s="235" t="e">
        <f>BB89+SUM($BD$12:BD89)</f>
        <v>#DIV/0!</v>
      </c>
      <c r="BF89" s="292" t="e">
        <f>-MIN(BE89:$BE$501)-SUM(BF$12:$BF88)</f>
        <v>#DIV/0!</v>
      </c>
      <c r="BG89" s="235" t="e">
        <f t="shared" si="93"/>
        <v>#DIV/0!</v>
      </c>
    </row>
    <row r="90" spans="2:59">
      <c r="B90" s="246">
        <v>77</v>
      </c>
      <c r="C90" s="241">
        <f t="shared" si="92"/>
        <v>45021</v>
      </c>
      <c r="D90" s="229">
        <f t="shared" si="94"/>
        <v>4</v>
      </c>
      <c r="E90" s="230" t="str">
        <f t="shared" si="95"/>
        <v>-</v>
      </c>
      <c r="F90" s="231">
        <f t="shared" si="96"/>
        <v>0</v>
      </c>
      <c r="G90" s="231">
        <f t="shared" si="97"/>
        <v>0</v>
      </c>
      <c r="H90" s="231">
        <f t="shared" si="98"/>
        <v>0</v>
      </c>
      <c r="I90" s="268">
        <f t="shared" si="83"/>
        <v>0</v>
      </c>
      <c r="J90" s="269">
        <f t="shared" si="99"/>
        <v>0</v>
      </c>
      <c r="K90" s="269">
        <f t="shared" si="100"/>
        <v>0</v>
      </c>
      <c r="L90" s="269">
        <f t="shared" si="84"/>
        <v>0</v>
      </c>
      <c r="M90" s="269">
        <f t="shared" si="85"/>
        <v>0</v>
      </c>
      <c r="N90" s="233">
        <f>VLOOKUP(B90,Dados!$L$86:$P$90,5)</f>
        <v>0</v>
      </c>
      <c r="O90" s="270">
        <f t="shared" si="101"/>
        <v>0.99999999999999989</v>
      </c>
      <c r="P90" s="269">
        <f t="shared" si="102"/>
        <v>0</v>
      </c>
      <c r="Q90" s="269" t="e">
        <f t="shared" si="103"/>
        <v>#DIV/0!</v>
      </c>
      <c r="R90" s="269">
        <f t="shared" si="104"/>
        <v>0</v>
      </c>
      <c r="S90" s="269" t="e">
        <f t="shared" si="105"/>
        <v>#DIV/0!</v>
      </c>
      <c r="T90" s="269" t="e">
        <f t="shared" si="91"/>
        <v>#DIV/0!</v>
      </c>
      <c r="U90" s="234">
        <f t="shared" si="106"/>
        <v>0</v>
      </c>
      <c r="V90" s="232" t="e">
        <f t="shared" si="107"/>
        <v>#DIV/0!</v>
      </c>
      <c r="W90" s="269" t="e">
        <f t="shared" si="108"/>
        <v>#DIV/0!</v>
      </c>
      <c r="X90" s="235">
        <f t="shared" si="86"/>
        <v>0</v>
      </c>
      <c r="Y90" s="236">
        <f t="shared" si="109"/>
        <v>5</v>
      </c>
      <c r="Z90" s="236" t="e">
        <f t="shared" si="110"/>
        <v>#DIV/0!</v>
      </c>
      <c r="AA90" s="236">
        <f t="shared" si="111"/>
        <v>3</v>
      </c>
      <c r="AB90" s="236" t="e">
        <f t="shared" si="112"/>
        <v>#DIV/0!</v>
      </c>
      <c r="AC90" s="235">
        <f t="shared" si="113"/>
        <v>0</v>
      </c>
      <c r="AD90" s="235">
        <f t="shared" si="114"/>
        <v>0</v>
      </c>
      <c r="AE90" s="279">
        <f t="shared" si="115"/>
        <v>0</v>
      </c>
      <c r="AF90" s="232">
        <f t="shared" si="116"/>
        <v>0</v>
      </c>
      <c r="AG90" s="235">
        <f t="shared" si="117"/>
        <v>0</v>
      </c>
      <c r="AH90" s="269">
        <f t="shared" si="118"/>
        <v>0</v>
      </c>
      <c r="AI90" s="232">
        <f t="shared" si="119"/>
        <v>0</v>
      </c>
      <c r="AJ90" s="235">
        <f t="shared" si="120"/>
        <v>0</v>
      </c>
      <c r="AK90" s="269">
        <f t="shared" si="121"/>
        <v>0</v>
      </c>
      <c r="AL90" s="269">
        <f t="shared" si="87"/>
        <v>0</v>
      </c>
      <c r="AM90" s="281" t="e">
        <f>IF(B90&gt;=mpfo,pos*vvm*Dados!$E$122*(ntudv-SUM(U91:$U$301))-SUM($AM$13:AM89),0)</f>
        <v>#DIV/0!</v>
      </c>
      <c r="AN90" s="269" t="e">
        <f t="shared" si="122"/>
        <v>#DIV/0!</v>
      </c>
      <c r="AO90" s="232" t="e">
        <f t="shared" si="123"/>
        <v>#DIV/0!</v>
      </c>
      <c r="AP90" s="242" t="e">
        <f t="shared" si="124"/>
        <v>#DIV/0!</v>
      </c>
      <c r="AQ90" s="235" t="e">
        <f>IF(AP90+SUM($AQ$12:AQ89)&gt;=0,0,-AP90-SUM($AQ$12:AQ89))</f>
        <v>#DIV/0!</v>
      </c>
      <c r="AR90" s="235">
        <f>IF(SUM($N$13:N89)&gt;=pmo,IF(SUM(N89:$N$501)&gt;(1-pmo),B90,0),0)</f>
        <v>0</v>
      </c>
      <c r="AS90" s="235" t="e">
        <f>IF((SUM($U$13:$U89)/ntudv)&gt;=pmv,IF((SUM($U89:$U$501)/ntudv)&gt;(1-pmv),B90,0),0)</f>
        <v>#DIV/0!</v>
      </c>
      <c r="AT90" s="237" t="e">
        <f>IF(MAX(mmo,mmv)=mmo,IF(B90=AR90,(SUM(N$13:$N89)-pmo)/((1-VLOOKUP(MAX(mmo,mmv)-1,$B$13:$O$501,14))+(VLOOKUP(MAX(mmo,mmv)-1,$B$13:$O$501,14)-pmo)),N89/((1-VLOOKUP(MAX(mmo,mmv)-1,$B$13:$O$501,14)+(VLOOKUP(MAX(mmo,mmv)-1,$B$13:$O$501,14)-pmo)))),N89/(1-VLOOKUP(MAX(mmo,mmv)-2,$B$13:$O$501,14)))</f>
        <v>#DIV/0!</v>
      </c>
      <c r="AU90" s="101" t="e">
        <f t="shared" si="88"/>
        <v>#DIV/0!</v>
      </c>
      <c r="AV90" s="287" t="e">
        <f t="shared" si="89"/>
        <v>#DIV/0!</v>
      </c>
      <c r="AW90" s="235" t="e">
        <f t="shared" si="125"/>
        <v>#DIV/0!</v>
      </c>
      <c r="AX90" s="281">
        <f>IF(B90&gt;mpfo,0,IF(B90=mpfo,(vld-teo*(1+tcfo-incc)^(MAX(mmo,mmv)-mbfo))*-1,IF(SUM($N$13:N89)&gt;=pmo,IF(($V89/ntudv)&gt;=pmv,IF(B90=MAX(mmo,mmv),-teo*(1+tcfo-incc)^(B90-mbfo),0),0),0)))</f>
        <v>0</v>
      </c>
      <c r="AY90" s="292" t="e">
        <f t="shared" si="90"/>
        <v>#DIV/0!</v>
      </c>
      <c r="AZ90" s="235" t="e">
        <f t="shared" si="126"/>
        <v>#DIV/0!</v>
      </c>
      <c r="BA90" s="269" t="e">
        <f t="shared" si="127"/>
        <v>#DIV/0!</v>
      </c>
      <c r="BB90" s="292" t="e">
        <f t="shared" si="128"/>
        <v>#DIV/0!</v>
      </c>
      <c r="BC90" s="238" t="e">
        <f>IF(SUM($BC$13:BC89)&gt;0,0,IF(BB90&gt;0,B90,0))</f>
        <v>#DIV/0!</v>
      </c>
      <c r="BD90" s="292" t="e">
        <f>IF(BB90+SUM($BD$12:BD89)&gt;=0,0,-BB90-SUM($BD$12:BD89))</f>
        <v>#DIV/0!</v>
      </c>
      <c r="BE90" s="235" t="e">
        <f>BB90+SUM($BD$12:BD90)</f>
        <v>#DIV/0!</v>
      </c>
      <c r="BF90" s="292" t="e">
        <f>-MIN(BE90:$BE$501)-SUM(BF$12:$BF89)</f>
        <v>#DIV/0!</v>
      </c>
      <c r="BG90" s="235" t="e">
        <f t="shared" si="93"/>
        <v>#DIV/0!</v>
      </c>
    </row>
    <row r="91" spans="2:59">
      <c r="B91" s="120">
        <v>78</v>
      </c>
      <c r="C91" s="241">
        <f t="shared" si="92"/>
        <v>45051</v>
      </c>
      <c r="D91" s="229">
        <f t="shared" si="94"/>
        <v>5</v>
      </c>
      <c r="E91" s="230" t="str">
        <f t="shared" si="95"/>
        <v>-</v>
      </c>
      <c r="F91" s="231">
        <f t="shared" si="96"/>
        <v>0</v>
      </c>
      <c r="G91" s="231">
        <f t="shared" si="97"/>
        <v>0</v>
      </c>
      <c r="H91" s="231">
        <f t="shared" si="98"/>
        <v>0</v>
      </c>
      <c r="I91" s="268">
        <f t="shared" si="83"/>
        <v>0</v>
      </c>
      <c r="J91" s="269">
        <f t="shared" si="99"/>
        <v>0</v>
      </c>
      <c r="K91" s="269">
        <f t="shared" si="100"/>
        <v>0</v>
      </c>
      <c r="L91" s="269">
        <f t="shared" si="84"/>
        <v>0</v>
      </c>
      <c r="M91" s="269">
        <f t="shared" si="85"/>
        <v>0</v>
      </c>
      <c r="N91" s="233">
        <f>VLOOKUP(B91,Dados!$L$86:$P$90,5)</f>
        <v>0</v>
      </c>
      <c r="O91" s="270">
        <f t="shared" si="101"/>
        <v>0.99999999999999989</v>
      </c>
      <c r="P91" s="269">
        <f t="shared" si="102"/>
        <v>0</v>
      </c>
      <c r="Q91" s="269" t="e">
        <f t="shared" si="103"/>
        <v>#DIV/0!</v>
      </c>
      <c r="R91" s="269">
        <f t="shared" si="104"/>
        <v>0</v>
      </c>
      <c r="S91" s="269" t="e">
        <f t="shared" si="105"/>
        <v>#DIV/0!</v>
      </c>
      <c r="T91" s="269" t="e">
        <f t="shared" si="91"/>
        <v>#DIV/0!</v>
      </c>
      <c r="U91" s="234">
        <f t="shared" si="106"/>
        <v>0</v>
      </c>
      <c r="V91" s="232" t="e">
        <f t="shared" si="107"/>
        <v>#DIV/0!</v>
      </c>
      <c r="W91" s="269" t="e">
        <f t="shared" si="108"/>
        <v>#DIV/0!</v>
      </c>
      <c r="X91" s="235">
        <f t="shared" si="86"/>
        <v>0</v>
      </c>
      <c r="Y91" s="236">
        <f t="shared" si="109"/>
        <v>5</v>
      </c>
      <c r="Z91" s="236" t="e">
        <f t="shared" si="110"/>
        <v>#DIV/0!</v>
      </c>
      <c r="AA91" s="236">
        <f t="shared" si="111"/>
        <v>3</v>
      </c>
      <c r="AB91" s="236" t="e">
        <f t="shared" si="112"/>
        <v>#DIV/0!</v>
      </c>
      <c r="AC91" s="235">
        <f t="shared" si="113"/>
        <v>0</v>
      </c>
      <c r="AD91" s="235">
        <f t="shared" si="114"/>
        <v>0</v>
      </c>
      <c r="AE91" s="279">
        <f t="shared" si="115"/>
        <v>0</v>
      </c>
      <c r="AF91" s="232">
        <f t="shared" si="116"/>
        <v>0</v>
      </c>
      <c r="AG91" s="235">
        <f t="shared" si="117"/>
        <v>0</v>
      </c>
      <c r="AH91" s="269">
        <f t="shared" si="118"/>
        <v>0</v>
      </c>
      <c r="AI91" s="232">
        <f t="shared" si="119"/>
        <v>0</v>
      </c>
      <c r="AJ91" s="235">
        <f t="shared" si="120"/>
        <v>0</v>
      </c>
      <c r="AK91" s="269">
        <f t="shared" si="121"/>
        <v>0</v>
      </c>
      <c r="AL91" s="269">
        <f t="shared" si="87"/>
        <v>0</v>
      </c>
      <c r="AM91" s="281" t="e">
        <f>IF(B91&gt;=mpfo,pos*vvm*Dados!$E$122*(ntudv-SUM(U92:$U$301))-SUM($AM$13:AM90),0)</f>
        <v>#DIV/0!</v>
      </c>
      <c r="AN91" s="269" t="e">
        <f t="shared" si="122"/>
        <v>#DIV/0!</v>
      </c>
      <c r="AO91" s="232" t="e">
        <f t="shared" si="123"/>
        <v>#DIV/0!</v>
      </c>
      <c r="AP91" s="242" t="e">
        <f t="shared" si="124"/>
        <v>#DIV/0!</v>
      </c>
      <c r="AQ91" s="235" t="e">
        <f>IF(AP91+SUM($AQ$12:AQ90)&gt;=0,0,-AP91-SUM($AQ$12:AQ90))</f>
        <v>#DIV/0!</v>
      </c>
      <c r="AR91" s="235">
        <f>IF(SUM($N$13:N90)&gt;=pmo,IF(SUM(N90:$N$501)&gt;(1-pmo),B91,0),0)</f>
        <v>0</v>
      </c>
      <c r="AS91" s="235" t="e">
        <f>IF((SUM($U$13:$U90)/ntudv)&gt;=pmv,IF((SUM($U90:$U$501)/ntudv)&gt;(1-pmv),B91,0),0)</f>
        <v>#DIV/0!</v>
      </c>
      <c r="AT91" s="237" t="e">
        <f>IF(MAX(mmo,mmv)=mmo,IF(B91=AR91,(SUM(N$13:$N90)-pmo)/((1-VLOOKUP(MAX(mmo,mmv)-1,$B$13:$O$501,14))+(VLOOKUP(MAX(mmo,mmv)-1,$B$13:$O$501,14)-pmo)),N90/((1-VLOOKUP(MAX(mmo,mmv)-1,$B$13:$O$501,14)+(VLOOKUP(MAX(mmo,mmv)-1,$B$13:$O$501,14)-pmo)))),N90/(1-VLOOKUP(MAX(mmo,mmv)-2,$B$13:$O$501,14)))</f>
        <v>#DIV/0!</v>
      </c>
      <c r="AU91" s="101" t="e">
        <f t="shared" si="88"/>
        <v>#DIV/0!</v>
      </c>
      <c r="AV91" s="287" t="e">
        <f t="shared" si="89"/>
        <v>#DIV/0!</v>
      </c>
      <c r="AW91" s="235" t="e">
        <f t="shared" si="125"/>
        <v>#DIV/0!</v>
      </c>
      <c r="AX91" s="281">
        <f>IF(B91&gt;mpfo,0,IF(B91=mpfo,(vld-teo*(1+tcfo-incc)^(MAX(mmo,mmv)-mbfo))*-1,IF(SUM($N$13:N90)&gt;=pmo,IF(($V90/ntudv)&gt;=pmv,IF(B91=MAX(mmo,mmv),-teo*(1+tcfo-incc)^(B91-mbfo),0),0),0)))</f>
        <v>0</v>
      </c>
      <c r="AY91" s="292" t="e">
        <f t="shared" si="90"/>
        <v>#DIV/0!</v>
      </c>
      <c r="AZ91" s="235" t="e">
        <f t="shared" si="126"/>
        <v>#DIV/0!</v>
      </c>
      <c r="BA91" s="269" t="e">
        <f t="shared" si="127"/>
        <v>#DIV/0!</v>
      </c>
      <c r="BB91" s="292" t="e">
        <f t="shared" si="128"/>
        <v>#DIV/0!</v>
      </c>
      <c r="BC91" s="238" t="e">
        <f>IF(SUM($BC$13:BC90)&gt;0,0,IF(BB91&gt;0,B91,0))</f>
        <v>#DIV/0!</v>
      </c>
      <c r="BD91" s="292" t="e">
        <f>IF(BB91+SUM($BD$12:BD90)&gt;=0,0,-BB91-SUM($BD$12:BD90))</f>
        <v>#DIV/0!</v>
      </c>
      <c r="BE91" s="235" t="e">
        <f>BB91+SUM($BD$12:BD91)</f>
        <v>#DIV/0!</v>
      </c>
      <c r="BF91" s="292" t="e">
        <f>-MIN(BE91:$BE$501)-SUM(BF$12:$BF90)</f>
        <v>#DIV/0!</v>
      </c>
      <c r="BG91" s="235" t="e">
        <f t="shared" si="93"/>
        <v>#DIV/0!</v>
      </c>
    </row>
    <row r="92" spans="2:59">
      <c r="B92" s="246">
        <v>79</v>
      </c>
      <c r="C92" s="241">
        <f t="shared" si="92"/>
        <v>45082</v>
      </c>
      <c r="D92" s="229">
        <f t="shared" si="94"/>
        <v>6</v>
      </c>
      <c r="E92" s="230" t="str">
        <f t="shared" si="95"/>
        <v>-</v>
      </c>
      <c r="F92" s="231">
        <f t="shared" si="96"/>
        <v>0</v>
      </c>
      <c r="G92" s="231">
        <f t="shared" si="97"/>
        <v>0</v>
      </c>
      <c r="H92" s="231">
        <f t="shared" si="98"/>
        <v>0</v>
      </c>
      <c r="I92" s="268">
        <f t="shared" si="83"/>
        <v>0</v>
      </c>
      <c r="J92" s="269">
        <f t="shared" si="99"/>
        <v>0</v>
      </c>
      <c r="K92" s="269">
        <f t="shared" si="100"/>
        <v>0</v>
      </c>
      <c r="L92" s="269">
        <f t="shared" si="84"/>
        <v>0</v>
      </c>
      <c r="M92" s="269">
        <f t="shared" si="85"/>
        <v>0</v>
      </c>
      <c r="N92" s="233">
        <f>VLOOKUP(B92,Dados!$L$86:$P$90,5)</f>
        <v>0</v>
      </c>
      <c r="O92" s="270">
        <f t="shared" si="101"/>
        <v>0.99999999999999989</v>
      </c>
      <c r="P92" s="269">
        <f t="shared" si="102"/>
        <v>0</v>
      </c>
      <c r="Q92" s="269" t="e">
        <f t="shared" si="103"/>
        <v>#DIV/0!</v>
      </c>
      <c r="R92" s="269">
        <f t="shared" si="104"/>
        <v>0</v>
      </c>
      <c r="S92" s="269" t="e">
        <f t="shared" si="105"/>
        <v>#DIV/0!</v>
      </c>
      <c r="T92" s="269" t="e">
        <f t="shared" si="91"/>
        <v>#DIV/0!</v>
      </c>
      <c r="U92" s="234">
        <f t="shared" si="106"/>
        <v>0</v>
      </c>
      <c r="V92" s="232" t="e">
        <f t="shared" si="107"/>
        <v>#DIV/0!</v>
      </c>
      <c r="W92" s="269" t="e">
        <f t="shared" si="108"/>
        <v>#DIV/0!</v>
      </c>
      <c r="X92" s="235">
        <f t="shared" si="86"/>
        <v>0</v>
      </c>
      <c r="Y92" s="236">
        <f t="shared" si="109"/>
        <v>5</v>
      </c>
      <c r="Z92" s="236" t="e">
        <f t="shared" si="110"/>
        <v>#DIV/0!</v>
      </c>
      <c r="AA92" s="236">
        <f t="shared" si="111"/>
        <v>3</v>
      </c>
      <c r="AB92" s="236" t="e">
        <f t="shared" si="112"/>
        <v>#DIV/0!</v>
      </c>
      <c r="AC92" s="235">
        <f t="shared" si="113"/>
        <v>0</v>
      </c>
      <c r="AD92" s="235">
        <f t="shared" si="114"/>
        <v>0</v>
      </c>
      <c r="AE92" s="279">
        <f t="shared" si="115"/>
        <v>0</v>
      </c>
      <c r="AF92" s="232">
        <f t="shared" si="116"/>
        <v>1</v>
      </c>
      <c r="AG92" s="235">
        <f t="shared" si="117"/>
        <v>0</v>
      </c>
      <c r="AH92" s="269">
        <f t="shared" si="118"/>
        <v>0</v>
      </c>
      <c r="AI92" s="232">
        <f t="shared" si="119"/>
        <v>0</v>
      </c>
      <c r="AJ92" s="235">
        <f t="shared" si="120"/>
        <v>0</v>
      </c>
      <c r="AK92" s="269">
        <f t="shared" si="121"/>
        <v>0</v>
      </c>
      <c r="AL92" s="269">
        <f t="shared" si="87"/>
        <v>0</v>
      </c>
      <c r="AM92" s="281" t="e">
        <f>IF(B92&gt;=mpfo,pos*vvm*Dados!$E$122*(ntudv-SUM(U93:$U$301))-SUM($AM$13:AM91),0)</f>
        <v>#DIV/0!</v>
      </c>
      <c r="AN92" s="269" t="e">
        <f t="shared" si="122"/>
        <v>#DIV/0!</v>
      </c>
      <c r="AO92" s="232" t="e">
        <f t="shared" si="123"/>
        <v>#DIV/0!</v>
      </c>
      <c r="AP92" s="242" t="e">
        <f t="shared" si="124"/>
        <v>#DIV/0!</v>
      </c>
      <c r="AQ92" s="235" t="e">
        <f>IF(AP92+SUM($AQ$12:AQ91)&gt;=0,0,-AP92-SUM($AQ$12:AQ91))</f>
        <v>#DIV/0!</v>
      </c>
      <c r="AR92" s="235">
        <f>IF(SUM($N$13:N91)&gt;=pmo,IF(SUM(N91:$N$501)&gt;(1-pmo),B92,0),0)</f>
        <v>0</v>
      </c>
      <c r="AS92" s="235" t="e">
        <f>IF((SUM($U$13:$U91)/ntudv)&gt;=pmv,IF((SUM($U91:$U$501)/ntudv)&gt;(1-pmv),B92,0),0)</f>
        <v>#DIV/0!</v>
      </c>
      <c r="AT92" s="237" t="e">
        <f>IF(MAX(mmo,mmv)=mmo,IF(B92=AR92,(SUM(N$13:$N91)-pmo)/((1-VLOOKUP(MAX(mmo,mmv)-1,$B$13:$O$501,14))+(VLOOKUP(MAX(mmo,mmv)-1,$B$13:$O$501,14)-pmo)),N91/((1-VLOOKUP(MAX(mmo,mmv)-1,$B$13:$O$501,14)+(VLOOKUP(MAX(mmo,mmv)-1,$B$13:$O$501,14)-pmo)))),N91/(1-VLOOKUP(MAX(mmo,mmv)-2,$B$13:$O$501,14)))</f>
        <v>#DIV/0!</v>
      </c>
      <c r="AU92" s="101" t="e">
        <f t="shared" si="88"/>
        <v>#DIV/0!</v>
      </c>
      <c r="AV92" s="287" t="e">
        <f t="shared" si="89"/>
        <v>#DIV/0!</v>
      </c>
      <c r="AW92" s="235" t="e">
        <f t="shared" si="125"/>
        <v>#DIV/0!</v>
      </c>
      <c r="AX92" s="281">
        <f>IF(B92&gt;mpfo,0,IF(B92=mpfo,(vld-teo*(1+tcfo-incc)^(MAX(mmo,mmv)-mbfo))*-1,IF(SUM($N$13:N91)&gt;=pmo,IF(($V91/ntudv)&gt;=pmv,IF(B92=MAX(mmo,mmv),-teo*(1+tcfo-incc)^(B92-mbfo),0),0),0)))</f>
        <v>0</v>
      </c>
      <c r="AY92" s="292" t="e">
        <f t="shared" si="90"/>
        <v>#DIV/0!</v>
      </c>
      <c r="AZ92" s="235" t="e">
        <f t="shared" si="126"/>
        <v>#DIV/0!</v>
      </c>
      <c r="BA92" s="269" t="e">
        <f t="shared" si="127"/>
        <v>#DIV/0!</v>
      </c>
      <c r="BB92" s="292" t="e">
        <f t="shared" si="128"/>
        <v>#DIV/0!</v>
      </c>
      <c r="BC92" s="238" t="e">
        <f>IF(SUM($BC$13:BC91)&gt;0,0,IF(BB92&gt;0,B92,0))</f>
        <v>#DIV/0!</v>
      </c>
      <c r="BD92" s="292" t="e">
        <f>IF(BB92+SUM($BD$12:BD91)&gt;=0,0,-BB92-SUM($BD$12:BD91))</f>
        <v>#DIV/0!</v>
      </c>
      <c r="BE92" s="235" t="e">
        <f>BB92+SUM($BD$12:BD92)</f>
        <v>#DIV/0!</v>
      </c>
      <c r="BF92" s="292" t="e">
        <f>-MIN(BE92:$BE$501)-SUM(BF$12:$BF91)</f>
        <v>#DIV/0!</v>
      </c>
      <c r="BG92" s="235" t="e">
        <f t="shared" si="93"/>
        <v>#DIV/0!</v>
      </c>
    </row>
    <row r="93" spans="2:59">
      <c r="B93" s="120">
        <v>80</v>
      </c>
      <c r="C93" s="241">
        <f t="shared" si="92"/>
        <v>45112</v>
      </c>
      <c r="D93" s="229">
        <f t="shared" si="94"/>
        <v>7</v>
      </c>
      <c r="E93" s="230" t="str">
        <f t="shared" si="95"/>
        <v>-</v>
      </c>
      <c r="F93" s="231">
        <f t="shared" si="96"/>
        <v>0</v>
      </c>
      <c r="G93" s="231">
        <f t="shared" si="97"/>
        <v>0</v>
      </c>
      <c r="H93" s="231">
        <f t="shared" si="98"/>
        <v>0</v>
      </c>
      <c r="I93" s="268">
        <f t="shared" si="83"/>
        <v>0</v>
      </c>
      <c r="J93" s="269">
        <f t="shared" si="99"/>
        <v>0</v>
      </c>
      <c r="K93" s="269">
        <f t="shared" si="100"/>
        <v>0</v>
      </c>
      <c r="L93" s="269">
        <f t="shared" si="84"/>
        <v>0</v>
      </c>
      <c r="M93" s="269">
        <f t="shared" si="85"/>
        <v>0</v>
      </c>
      <c r="N93" s="233">
        <f>VLOOKUP(B93,Dados!$L$86:$P$90,5)</f>
        <v>0</v>
      </c>
      <c r="O93" s="270">
        <f t="shared" si="101"/>
        <v>0.99999999999999989</v>
      </c>
      <c r="P93" s="269">
        <f t="shared" si="102"/>
        <v>0</v>
      </c>
      <c r="Q93" s="269" t="e">
        <f t="shared" si="103"/>
        <v>#DIV/0!</v>
      </c>
      <c r="R93" s="269">
        <f t="shared" si="104"/>
        <v>0</v>
      </c>
      <c r="S93" s="269" t="e">
        <f t="shared" si="105"/>
        <v>#DIV/0!</v>
      </c>
      <c r="T93" s="269" t="e">
        <f t="shared" si="91"/>
        <v>#DIV/0!</v>
      </c>
      <c r="U93" s="234">
        <f t="shared" si="106"/>
        <v>0</v>
      </c>
      <c r="V93" s="232" t="e">
        <f t="shared" si="107"/>
        <v>#DIV/0!</v>
      </c>
      <c r="W93" s="269" t="e">
        <f t="shared" si="108"/>
        <v>#DIV/0!</v>
      </c>
      <c r="X93" s="235">
        <f t="shared" si="86"/>
        <v>0</v>
      </c>
      <c r="Y93" s="236">
        <f t="shared" si="109"/>
        <v>5</v>
      </c>
      <c r="Z93" s="236" t="e">
        <f t="shared" si="110"/>
        <v>#DIV/0!</v>
      </c>
      <c r="AA93" s="236">
        <f t="shared" si="111"/>
        <v>3</v>
      </c>
      <c r="AB93" s="236" t="e">
        <f t="shared" si="112"/>
        <v>#DIV/0!</v>
      </c>
      <c r="AC93" s="235">
        <f t="shared" si="113"/>
        <v>0</v>
      </c>
      <c r="AD93" s="235">
        <f t="shared" si="114"/>
        <v>0</v>
      </c>
      <c r="AE93" s="279">
        <f t="shared" si="115"/>
        <v>0</v>
      </c>
      <c r="AF93" s="232">
        <f t="shared" si="116"/>
        <v>0</v>
      </c>
      <c r="AG93" s="235">
        <f t="shared" si="117"/>
        <v>0</v>
      </c>
      <c r="AH93" s="269">
        <f t="shared" si="118"/>
        <v>0</v>
      </c>
      <c r="AI93" s="232">
        <f t="shared" si="119"/>
        <v>0</v>
      </c>
      <c r="AJ93" s="235">
        <f t="shared" si="120"/>
        <v>0</v>
      </c>
      <c r="AK93" s="269">
        <f t="shared" si="121"/>
        <v>0</v>
      </c>
      <c r="AL93" s="269">
        <f t="shared" si="87"/>
        <v>0</v>
      </c>
      <c r="AM93" s="281" t="e">
        <f>IF(B93&gt;=mpfo,pos*vvm*Dados!$E$122*(ntudv-SUM(U94:$U$301))-SUM($AM$13:AM92),0)</f>
        <v>#DIV/0!</v>
      </c>
      <c r="AN93" s="269" t="e">
        <f t="shared" si="122"/>
        <v>#DIV/0!</v>
      </c>
      <c r="AO93" s="232" t="e">
        <f t="shared" si="123"/>
        <v>#DIV/0!</v>
      </c>
      <c r="AP93" s="242" t="e">
        <f t="shared" si="124"/>
        <v>#DIV/0!</v>
      </c>
      <c r="AQ93" s="235" t="e">
        <f>IF(AP93+SUM($AQ$12:AQ92)&gt;=0,0,-AP93-SUM($AQ$12:AQ92))</f>
        <v>#DIV/0!</v>
      </c>
      <c r="AR93" s="235">
        <f>IF(SUM($N$13:N92)&gt;=pmo,IF(SUM(N92:$N$501)&gt;(1-pmo),B93,0),0)</f>
        <v>0</v>
      </c>
      <c r="AS93" s="235" t="e">
        <f>IF((SUM($U$13:$U92)/ntudv)&gt;=pmv,IF((SUM($U92:$U$501)/ntudv)&gt;(1-pmv),B93,0),0)</f>
        <v>#DIV/0!</v>
      </c>
      <c r="AT93" s="237" t="e">
        <f>IF(MAX(mmo,mmv)=mmo,IF(B93=AR93,(SUM(N$13:$N92)-pmo)/((1-VLOOKUP(MAX(mmo,mmv)-1,$B$13:$O$501,14))+(VLOOKUP(MAX(mmo,mmv)-1,$B$13:$O$501,14)-pmo)),N92/((1-VLOOKUP(MAX(mmo,mmv)-1,$B$13:$O$501,14)+(VLOOKUP(MAX(mmo,mmv)-1,$B$13:$O$501,14)-pmo)))),N92/(1-VLOOKUP(MAX(mmo,mmv)-2,$B$13:$O$501,14)))</f>
        <v>#DIV/0!</v>
      </c>
      <c r="AU93" s="101" t="e">
        <f t="shared" si="88"/>
        <v>#DIV/0!</v>
      </c>
      <c r="AV93" s="287" t="e">
        <f t="shared" si="89"/>
        <v>#DIV/0!</v>
      </c>
      <c r="AW93" s="235" t="e">
        <f t="shared" si="125"/>
        <v>#DIV/0!</v>
      </c>
      <c r="AX93" s="281">
        <f>IF(B93&gt;mpfo,0,IF(B93=mpfo,(vld-teo*(1+tcfo-incc)^(MAX(mmo,mmv)-mbfo))*-1,IF(SUM($N$13:N92)&gt;=pmo,IF(($V92/ntudv)&gt;=pmv,IF(B93=MAX(mmo,mmv),-teo*(1+tcfo-incc)^(B93-mbfo),0),0),0)))</f>
        <v>0</v>
      </c>
      <c r="AY93" s="292" t="e">
        <f t="shared" si="90"/>
        <v>#DIV/0!</v>
      </c>
      <c r="AZ93" s="235" t="e">
        <f t="shared" si="126"/>
        <v>#DIV/0!</v>
      </c>
      <c r="BA93" s="269" t="e">
        <f t="shared" si="127"/>
        <v>#DIV/0!</v>
      </c>
      <c r="BB93" s="292" t="e">
        <f t="shared" si="128"/>
        <v>#DIV/0!</v>
      </c>
      <c r="BC93" s="238" t="e">
        <f>IF(SUM($BC$13:BC92)&gt;0,0,IF(BB93&gt;0,B93,0))</f>
        <v>#DIV/0!</v>
      </c>
      <c r="BD93" s="292" t="e">
        <f>IF(BB93+SUM($BD$12:BD92)&gt;=0,0,-BB93-SUM($BD$12:BD92))</f>
        <v>#DIV/0!</v>
      </c>
      <c r="BE93" s="235" t="e">
        <f>BB93+SUM($BD$12:BD93)</f>
        <v>#DIV/0!</v>
      </c>
      <c r="BF93" s="292" t="e">
        <f>-MIN(BE93:$BE$501)-SUM(BF$12:$BF92)</f>
        <v>#DIV/0!</v>
      </c>
      <c r="BG93" s="235" t="e">
        <f t="shared" si="93"/>
        <v>#DIV/0!</v>
      </c>
    </row>
    <row r="94" spans="2:59">
      <c r="B94" s="246">
        <v>81</v>
      </c>
      <c r="C94" s="241">
        <f t="shared" si="92"/>
        <v>45143</v>
      </c>
      <c r="D94" s="229">
        <f t="shared" si="94"/>
        <v>8</v>
      </c>
      <c r="E94" s="230" t="str">
        <f t="shared" si="95"/>
        <v>-</v>
      </c>
      <c r="F94" s="231">
        <f t="shared" si="96"/>
        <v>0</v>
      </c>
      <c r="G94" s="231">
        <f t="shared" si="97"/>
        <v>0</v>
      </c>
      <c r="H94" s="231">
        <f t="shared" si="98"/>
        <v>0</v>
      </c>
      <c r="I94" s="268">
        <f t="shared" si="83"/>
        <v>0</v>
      </c>
      <c r="J94" s="269">
        <f t="shared" si="99"/>
        <v>0</v>
      </c>
      <c r="K94" s="269">
        <f t="shared" si="100"/>
        <v>0</v>
      </c>
      <c r="L94" s="269">
        <f t="shared" si="84"/>
        <v>0</v>
      </c>
      <c r="M94" s="269">
        <f t="shared" si="85"/>
        <v>0</v>
      </c>
      <c r="N94" s="233">
        <f>VLOOKUP(B94,Dados!$L$86:$P$90,5)</f>
        <v>0</v>
      </c>
      <c r="O94" s="270">
        <f t="shared" si="101"/>
        <v>0.99999999999999989</v>
      </c>
      <c r="P94" s="269">
        <f t="shared" si="102"/>
        <v>0</v>
      </c>
      <c r="Q94" s="269" t="e">
        <f t="shared" si="103"/>
        <v>#DIV/0!</v>
      </c>
      <c r="R94" s="269">
        <f t="shared" si="104"/>
        <v>0</v>
      </c>
      <c r="S94" s="269" t="e">
        <f t="shared" si="105"/>
        <v>#DIV/0!</v>
      </c>
      <c r="T94" s="269" t="e">
        <f t="shared" si="91"/>
        <v>#DIV/0!</v>
      </c>
      <c r="U94" s="234">
        <f t="shared" si="106"/>
        <v>0</v>
      </c>
      <c r="V94" s="232" t="e">
        <f t="shared" si="107"/>
        <v>#DIV/0!</v>
      </c>
      <c r="W94" s="269" t="e">
        <f t="shared" si="108"/>
        <v>#DIV/0!</v>
      </c>
      <c r="X94" s="235">
        <f t="shared" si="86"/>
        <v>0</v>
      </c>
      <c r="Y94" s="236">
        <f t="shared" si="109"/>
        <v>5</v>
      </c>
      <c r="Z94" s="236" t="e">
        <f t="shared" si="110"/>
        <v>#DIV/0!</v>
      </c>
      <c r="AA94" s="236">
        <f t="shared" si="111"/>
        <v>3</v>
      </c>
      <c r="AB94" s="236" t="e">
        <f t="shared" si="112"/>
        <v>#DIV/0!</v>
      </c>
      <c r="AC94" s="235">
        <f t="shared" si="113"/>
        <v>0</v>
      </c>
      <c r="AD94" s="235">
        <f t="shared" si="114"/>
        <v>0</v>
      </c>
      <c r="AE94" s="279">
        <f t="shared" si="115"/>
        <v>0</v>
      </c>
      <c r="AF94" s="232">
        <f t="shared" si="116"/>
        <v>0</v>
      </c>
      <c r="AG94" s="235">
        <f t="shared" si="117"/>
        <v>0</v>
      </c>
      <c r="AH94" s="269">
        <f t="shared" si="118"/>
        <v>0</v>
      </c>
      <c r="AI94" s="232">
        <f t="shared" si="119"/>
        <v>0</v>
      </c>
      <c r="AJ94" s="235">
        <f t="shared" si="120"/>
        <v>0</v>
      </c>
      <c r="AK94" s="269">
        <f t="shared" si="121"/>
        <v>0</v>
      </c>
      <c r="AL94" s="269">
        <f t="shared" si="87"/>
        <v>0</v>
      </c>
      <c r="AM94" s="281" t="e">
        <f>IF(B94&gt;=mpfo,pos*vvm*Dados!$E$122*(ntudv-SUM(U95:$U$301))-SUM($AM$13:AM93),0)</f>
        <v>#DIV/0!</v>
      </c>
      <c r="AN94" s="269" t="e">
        <f t="shared" si="122"/>
        <v>#DIV/0!</v>
      </c>
      <c r="AO94" s="232" t="e">
        <f t="shared" si="123"/>
        <v>#DIV/0!</v>
      </c>
      <c r="AP94" s="242" t="e">
        <f t="shared" si="124"/>
        <v>#DIV/0!</v>
      </c>
      <c r="AQ94" s="235" t="e">
        <f>IF(AP94+SUM($AQ$12:AQ93)&gt;=0,0,-AP94-SUM($AQ$12:AQ93))</f>
        <v>#DIV/0!</v>
      </c>
      <c r="AR94" s="235">
        <f>IF(SUM($N$13:N93)&gt;=pmo,IF(SUM(N93:$N$501)&gt;(1-pmo),B94,0),0)</f>
        <v>0</v>
      </c>
      <c r="AS94" s="235" t="e">
        <f>IF((SUM($U$13:$U93)/ntudv)&gt;=pmv,IF((SUM($U93:$U$501)/ntudv)&gt;(1-pmv),B94,0),0)</f>
        <v>#DIV/0!</v>
      </c>
      <c r="AT94" s="237" t="e">
        <f>IF(MAX(mmo,mmv)=mmo,IF(B94=AR94,(SUM(N$13:$N93)-pmo)/((1-VLOOKUP(MAX(mmo,mmv)-1,$B$13:$O$501,14))+(VLOOKUP(MAX(mmo,mmv)-1,$B$13:$O$501,14)-pmo)),N93/((1-VLOOKUP(MAX(mmo,mmv)-1,$B$13:$O$501,14)+(VLOOKUP(MAX(mmo,mmv)-1,$B$13:$O$501,14)-pmo)))),N93/(1-VLOOKUP(MAX(mmo,mmv)-2,$B$13:$O$501,14)))</f>
        <v>#DIV/0!</v>
      </c>
      <c r="AU94" s="101" t="e">
        <f t="shared" si="88"/>
        <v>#DIV/0!</v>
      </c>
      <c r="AV94" s="287" t="e">
        <f t="shared" si="89"/>
        <v>#DIV/0!</v>
      </c>
      <c r="AW94" s="235" t="e">
        <f t="shared" si="125"/>
        <v>#DIV/0!</v>
      </c>
      <c r="AX94" s="281">
        <f>IF(B94&gt;mpfo,0,IF(B94=mpfo,(vld-teo*(1+tcfo-incc)^(MAX(mmo,mmv)-mbfo))*-1,IF(SUM($N$13:N93)&gt;=pmo,IF(($V93/ntudv)&gt;=pmv,IF(B94=MAX(mmo,mmv),-teo*(1+tcfo-incc)^(B94-mbfo),0),0),0)))</f>
        <v>0</v>
      </c>
      <c r="AY94" s="292" t="e">
        <f t="shared" si="90"/>
        <v>#DIV/0!</v>
      </c>
      <c r="AZ94" s="235" t="e">
        <f t="shared" si="126"/>
        <v>#DIV/0!</v>
      </c>
      <c r="BA94" s="269" t="e">
        <f t="shared" si="127"/>
        <v>#DIV/0!</v>
      </c>
      <c r="BB94" s="292" t="e">
        <f t="shared" si="128"/>
        <v>#DIV/0!</v>
      </c>
      <c r="BC94" s="238" t="e">
        <f>IF(SUM($BC$13:BC93)&gt;0,0,IF(BB94&gt;0,B94,0))</f>
        <v>#DIV/0!</v>
      </c>
      <c r="BD94" s="292" t="e">
        <f>IF(BB94+SUM($BD$12:BD93)&gt;=0,0,-BB94-SUM($BD$12:BD93))</f>
        <v>#DIV/0!</v>
      </c>
      <c r="BE94" s="235" t="e">
        <f>BB94+SUM($BD$12:BD94)</f>
        <v>#DIV/0!</v>
      </c>
      <c r="BF94" s="292" t="e">
        <f>-MIN(BE94:$BE$501)-SUM(BF$12:$BF93)</f>
        <v>#DIV/0!</v>
      </c>
      <c r="BG94" s="235" t="e">
        <f t="shared" si="93"/>
        <v>#DIV/0!</v>
      </c>
    </row>
    <row r="95" spans="2:59">
      <c r="B95" s="120">
        <v>82</v>
      </c>
      <c r="C95" s="241">
        <f t="shared" si="92"/>
        <v>45174</v>
      </c>
      <c r="D95" s="229">
        <f t="shared" si="94"/>
        <v>9</v>
      </c>
      <c r="E95" s="230" t="str">
        <f t="shared" si="95"/>
        <v>-</v>
      </c>
      <c r="F95" s="231">
        <f t="shared" si="96"/>
        <v>0</v>
      </c>
      <c r="G95" s="231">
        <f t="shared" si="97"/>
        <v>0</v>
      </c>
      <c r="H95" s="231">
        <f t="shared" si="98"/>
        <v>0</v>
      </c>
      <c r="I95" s="268">
        <f t="shared" si="83"/>
        <v>0</v>
      </c>
      <c r="J95" s="269">
        <f t="shared" si="99"/>
        <v>0</v>
      </c>
      <c r="K95" s="269">
        <f t="shared" si="100"/>
        <v>0</v>
      </c>
      <c r="L95" s="269">
        <f t="shared" si="84"/>
        <v>0</v>
      </c>
      <c r="M95" s="269">
        <f t="shared" si="85"/>
        <v>0</v>
      </c>
      <c r="N95" s="233">
        <f>VLOOKUP(B95,Dados!$L$86:$P$90,5)</f>
        <v>0</v>
      </c>
      <c r="O95" s="270">
        <f t="shared" si="101"/>
        <v>0.99999999999999989</v>
      </c>
      <c r="P95" s="269">
        <f t="shared" si="102"/>
        <v>0</v>
      </c>
      <c r="Q95" s="269" t="e">
        <f t="shared" si="103"/>
        <v>#DIV/0!</v>
      </c>
      <c r="R95" s="269">
        <f t="shared" si="104"/>
        <v>0</v>
      </c>
      <c r="S95" s="269" t="e">
        <f t="shared" si="105"/>
        <v>#DIV/0!</v>
      </c>
      <c r="T95" s="269" t="e">
        <f t="shared" si="91"/>
        <v>#DIV/0!</v>
      </c>
      <c r="U95" s="234">
        <f t="shared" si="106"/>
        <v>0</v>
      </c>
      <c r="V95" s="232" t="e">
        <f t="shared" si="107"/>
        <v>#DIV/0!</v>
      </c>
      <c r="W95" s="269" t="e">
        <f t="shared" si="108"/>
        <v>#DIV/0!</v>
      </c>
      <c r="X95" s="235">
        <f t="shared" si="86"/>
        <v>0</v>
      </c>
      <c r="Y95" s="236">
        <f t="shared" si="109"/>
        <v>5</v>
      </c>
      <c r="Z95" s="236" t="e">
        <f t="shared" si="110"/>
        <v>#DIV/0!</v>
      </c>
      <c r="AA95" s="236">
        <f t="shared" si="111"/>
        <v>3</v>
      </c>
      <c r="AB95" s="236" t="e">
        <f t="shared" si="112"/>
        <v>#DIV/0!</v>
      </c>
      <c r="AC95" s="235">
        <f t="shared" si="113"/>
        <v>0</v>
      </c>
      <c r="AD95" s="235">
        <f t="shared" si="114"/>
        <v>0</v>
      </c>
      <c r="AE95" s="279">
        <f t="shared" si="115"/>
        <v>0</v>
      </c>
      <c r="AF95" s="232">
        <f t="shared" si="116"/>
        <v>0</v>
      </c>
      <c r="AG95" s="235">
        <f t="shared" si="117"/>
        <v>0</v>
      </c>
      <c r="AH95" s="269">
        <f t="shared" si="118"/>
        <v>0</v>
      </c>
      <c r="AI95" s="232">
        <f t="shared" si="119"/>
        <v>0</v>
      </c>
      <c r="AJ95" s="235">
        <f t="shared" si="120"/>
        <v>0</v>
      </c>
      <c r="AK95" s="269">
        <f t="shared" si="121"/>
        <v>0</v>
      </c>
      <c r="AL95" s="269">
        <f t="shared" si="87"/>
        <v>0</v>
      </c>
      <c r="AM95" s="281" t="e">
        <f>IF(B95&gt;=mpfo,pos*vvm*Dados!$E$122*(ntudv-SUM(U96:$U$301))-SUM($AM$13:AM94),0)</f>
        <v>#DIV/0!</v>
      </c>
      <c r="AN95" s="269" t="e">
        <f t="shared" si="122"/>
        <v>#DIV/0!</v>
      </c>
      <c r="AO95" s="232" t="e">
        <f t="shared" si="123"/>
        <v>#DIV/0!</v>
      </c>
      <c r="AP95" s="242" t="e">
        <f t="shared" si="124"/>
        <v>#DIV/0!</v>
      </c>
      <c r="AQ95" s="235" t="e">
        <f>IF(AP95+SUM($AQ$12:AQ94)&gt;=0,0,-AP95-SUM($AQ$12:AQ94))</f>
        <v>#DIV/0!</v>
      </c>
      <c r="AR95" s="235">
        <f>IF(SUM($N$13:N94)&gt;=pmo,IF(SUM(N94:$N$501)&gt;(1-pmo),B95,0),0)</f>
        <v>0</v>
      </c>
      <c r="AS95" s="235" t="e">
        <f>IF((SUM($U$13:$U94)/ntudv)&gt;=pmv,IF((SUM($U94:$U$501)/ntudv)&gt;(1-pmv),B95,0),0)</f>
        <v>#DIV/0!</v>
      </c>
      <c r="AT95" s="237" t="e">
        <f>IF(MAX(mmo,mmv)=mmo,IF(B95=AR95,(SUM(N$13:$N94)-pmo)/((1-VLOOKUP(MAX(mmo,mmv)-1,$B$13:$O$501,14))+(VLOOKUP(MAX(mmo,mmv)-1,$B$13:$O$501,14)-pmo)),N94/((1-VLOOKUP(MAX(mmo,mmv)-1,$B$13:$O$501,14)+(VLOOKUP(MAX(mmo,mmv)-1,$B$13:$O$501,14)-pmo)))),N94/(1-VLOOKUP(MAX(mmo,mmv)-2,$B$13:$O$501,14)))</f>
        <v>#DIV/0!</v>
      </c>
      <c r="AU95" s="101" t="e">
        <f t="shared" si="88"/>
        <v>#DIV/0!</v>
      </c>
      <c r="AV95" s="287" t="e">
        <f t="shared" si="89"/>
        <v>#DIV/0!</v>
      </c>
      <c r="AW95" s="235" t="e">
        <f t="shared" si="125"/>
        <v>#DIV/0!</v>
      </c>
      <c r="AX95" s="281">
        <f>IF(B95&gt;mpfo,0,IF(B95=mpfo,(vld-teo*(1+tcfo-incc)^(MAX(mmo,mmv)-mbfo))*-1,IF(SUM($N$13:N94)&gt;=pmo,IF(($V94/ntudv)&gt;=pmv,IF(B95=MAX(mmo,mmv),-teo*(1+tcfo-incc)^(B95-mbfo),0),0),0)))</f>
        <v>0</v>
      </c>
      <c r="AY95" s="292" t="e">
        <f t="shared" si="90"/>
        <v>#DIV/0!</v>
      </c>
      <c r="AZ95" s="235" t="e">
        <f t="shared" si="126"/>
        <v>#DIV/0!</v>
      </c>
      <c r="BA95" s="269" t="e">
        <f t="shared" si="127"/>
        <v>#DIV/0!</v>
      </c>
      <c r="BB95" s="292" t="e">
        <f t="shared" si="128"/>
        <v>#DIV/0!</v>
      </c>
      <c r="BC95" s="238" t="e">
        <f>IF(SUM($BC$13:BC94)&gt;0,0,IF(BB95&gt;0,B95,0))</f>
        <v>#DIV/0!</v>
      </c>
      <c r="BD95" s="292" t="e">
        <f>IF(BB95+SUM($BD$12:BD94)&gt;=0,0,-BB95-SUM($BD$12:BD94))</f>
        <v>#DIV/0!</v>
      </c>
      <c r="BE95" s="235" t="e">
        <f>BB95+SUM($BD$12:BD95)</f>
        <v>#DIV/0!</v>
      </c>
      <c r="BF95" s="292" t="e">
        <f>-MIN(BE95:$BE$501)-SUM(BF$12:$BF94)</f>
        <v>#DIV/0!</v>
      </c>
      <c r="BG95" s="235" t="e">
        <f t="shared" si="93"/>
        <v>#DIV/0!</v>
      </c>
    </row>
    <row r="96" spans="2:59">
      <c r="B96" s="246">
        <v>83</v>
      </c>
      <c r="C96" s="241">
        <f t="shared" si="92"/>
        <v>45204</v>
      </c>
      <c r="D96" s="229">
        <f t="shared" si="94"/>
        <v>10</v>
      </c>
      <c r="E96" s="230" t="str">
        <f t="shared" si="95"/>
        <v>-</v>
      </c>
      <c r="F96" s="231">
        <f t="shared" si="96"/>
        <v>0</v>
      </c>
      <c r="G96" s="231">
        <f t="shared" si="97"/>
        <v>0</v>
      </c>
      <c r="H96" s="231">
        <f t="shared" si="98"/>
        <v>0</v>
      </c>
      <c r="I96" s="268">
        <f t="shared" si="83"/>
        <v>0</v>
      </c>
      <c r="J96" s="269">
        <f t="shared" si="99"/>
        <v>0</v>
      </c>
      <c r="K96" s="269">
        <f t="shared" si="100"/>
        <v>0</v>
      </c>
      <c r="L96" s="269">
        <f t="shared" si="84"/>
        <v>0</v>
      </c>
      <c r="M96" s="269">
        <f t="shared" si="85"/>
        <v>0</v>
      </c>
      <c r="N96" s="233">
        <f>VLOOKUP(B96,Dados!$L$86:$P$90,5)</f>
        <v>0</v>
      </c>
      <c r="O96" s="270">
        <f t="shared" si="101"/>
        <v>0.99999999999999989</v>
      </c>
      <c r="P96" s="269">
        <f t="shared" si="102"/>
        <v>0</v>
      </c>
      <c r="Q96" s="269" t="e">
        <f t="shared" si="103"/>
        <v>#DIV/0!</v>
      </c>
      <c r="R96" s="269">
        <f t="shared" si="104"/>
        <v>0</v>
      </c>
      <c r="S96" s="269" t="e">
        <f t="shared" si="105"/>
        <v>#DIV/0!</v>
      </c>
      <c r="T96" s="269" t="e">
        <f t="shared" si="91"/>
        <v>#DIV/0!</v>
      </c>
      <c r="U96" s="234">
        <f t="shared" si="106"/>
        <v>0</v>
      </c>
      <c r="V96" s="232" t="e">
        <f t="shared" si="107"/>
        <v>#DIV/0!</v>
      </c>
      <c r="W96" s="269" t="e">
        <f t="shared" si="108"/>
        <v>#DIV/0!</v>
      </c>
      <c r="X96" s="235">
        <f t="shared" si="86"/>
        <v>0</v>
      </c>
      <c r="Y96" s="236">
        <f t="shared" si="109"/>
        <v>5</v>
      </c>
      <c r="Z96" s="236" t="e">
        <f t="shared" si="110"/>
        <v>#DIV/0!</v>
      </c>
      <c r="AA96" s="236">
        <f t="shared" si="111"/>
        <v>3</v>
      </c>
      <c r="AB96" s="236" t="e">
        <f t="shared" si="112"/>
        <v>#DIV/0!</v>
      </c>
      <c r="AC96" s="235">
        <f t="shared" si="113"/>
        <v>0</v>
      </c>
      <c r="AD96" s="235">
        <f t="shared" si="114"/>
        <v>0</v>
      </c>
      <c r="AE96" s="279">
        <f t="shared" si="115"/>
        <v>0</v>
      </c>
      <c r="AF96" s="232">
        <f t="shared" si="116"/>
        <v>0</v>
      </c>
      <c r="AG96" s="235">
        <f t="shared" si="117"/>
        <v>0</v>
      </c>
      <c r="AH96" s="269">
        <f t="shared" si="118"/>
        <v>0</v>
      </c>
      <c r="AI96" s="232">
        <f t="shared" si="119"/>
        <v>0</v>
      </c>
      <c r="AJ96" s="235">
        <f t="shared" si="120"/>
        <v>0</v>
      </c>
      <c r="AK96" s="269">
        <f t="shared" si="121"/>
        <v>0</v>
      </c>
      <c r="AL96" s="269">
        <f t="shared" si="87"/>
        <v>0</v>
      </c>
      <c r="AM96" s="281" t="e">
        <f>IF(B96&gt;=mpfo,pos*vvm*Dados!$E$122*(ntudv-SUM(U97:$U$301))-SUM($AM$13:AM95),0)</f>
        <v>#DIV/0!</v>
      </c>
      <c r="AN96" s="269" t="e">
        <f t="shared" si="122"/>
        <v>#DIV/0!</v>
      </c>
      <c r="AO96" s="232" t="e">
        <f t="shared" si="123"/>
        <v>#DIV/0!</v>
      </c>
      <c r="AP96" s="242" t="e">
        <f t="shared" si="124"/>
        <v>#DIV/0!</v>
      </c>
      <c r="AQ96" s="235" t="e">
        <f>IF(AP96+SUM($AQ$12:AQ95)&gt;=0,0,-AP96-SUM($AQ$12:AQ95))</f>
        <v>#DIV/0!</v>
      </c>
      <c r="AR96" s="235">
        <f>IF(SUM($N$13:N95)&gt;=pmo,IF(SUM(N95:$N$501)&gt;(1-pmo),B96,0),0)</f>
        <v>0</v>
      </c>
      <c r="AS96" s="235" t="e">
        <f>IF((SUM($U$13:$U95)/ntudv)&gt;=pmv,IF((SUM($U95:$U$501)/ntudv)&gt;(1-pmv),B96,0),0)</f>
        <v>#DIV/0!</v>
      </c>
      <c r="AT96" s="237" t="e">
        <f>IF(MAX(mmo,mmv)=mmo,IF(B96=AR96,(SUM(N$13:$N95)-pmo)/((1-VLOOKUP(MAX(mmo,mmv)-1,$B$13:$O$501,14))+(VLOOKUP(MAX(mmo,mmv)-1,$B$13:$O$501,14)-pmo)),N95/((1-VLOOKUP(MAX(mmo,mmv)-1,$B$13:$O$501,14)+(VLOOKUP(MAX(mmo,mmv)-1,$B$13:$O$501,14)-pmo)))),N95/(1-VLOOKUP(MAX(mmo,mmv)-2,$B$13:$O$501,14)))</f>
        <v>#DIV/0!</v>
      </c>
      <c r="AU96" s="101" t="e">
        <f t="shared" si="88"/>
        <v>#DIV/0!</v>
      </c>
      <c r="AV96" s="287" t="e">
        <f t="shared" si="89"/>
        <v>#DIV/0!</v>
      </c>
      <c r="AW96" s="235" t="e">
        <f t="shared" si="125"/>
        <v>#DIV/0!</v>
      </c>
      <c r="AX96" s="281">
        <f>IF(B96&gt;mpfo,0,IF(B96=mpfo,(vld-teo*(1+tcfo-incc)^(MAX(mmo,mmv)-mbfo))*-1,IF(SUM($N$13:N95)&gt;=pmo,IF(($V95/ntudv)&gt;=pmv,IF(B96=MAX(mmo,mmv),-teo*(1+tcfo-incc)^(B96-mbfo),0),0),0)))</f>
        <v>0</v>
      </c>
      <c r="AY96" s="292" t="e">
        <f t="shared" si="90"/>
        <v>#DIV/0!</v>
      </c>
      <c r="AZ96" s="235" t="e">
        <f t="shared" si="126"/>
        <v>#DIV/0!</v>
      </c>
      <c r="BA96" s="269" t="e">
        <f t="shared" si="127"/>
        <v>#DIV/0!</v>
      </c>
      <c r="BB96" s="292" t="e">
        <f t="shared" si="128"/>
        <v>#DIV/0!</v>
      </c>
      <c r="BC96" s="238" t="e">
        <f>IF(SUM($BC$13:BC95)&gt;0,0,IF(BB96&gt;0,B96,0))</f>
        <v>#DIV/0!</v>
      </c>
      <c r="BD96" s="292" t="e">
        <f>IF(BB96+SUM($BD$12:BD95)&gt;=0,0,-BB96-SUM($BD$12:BD95))</f>
        <v>#DIV/0!</v>
      </c>
      <c r="BE96" s="235" t="e">
        <f>BB96+SUM($BD$12:BD96)</f>
        <v>#DIV/0!</v>
      </c>
      <c r="BF96" s="292" t="e">
        <f>-MIN(BE96:$BE$501)-SUM(BF$12:$BF95)</f>
        <v>#DIV/0!</v>
      </c>
      <c r="BG96" s="235" t="e">
        <f t="shared" si="93"/>
        <v>#DIV/0!</v>
      </c>
    </row>
    <row r="97" spans="2:59">
      <c r="B97" s="120">
        <v>84</v>
      </c>
      <c r="C97" s="241">
        <f t="shared" si="92"/>
        <v>45235</v>
      </c>
      <c r="D97" s="229">
        <f t="shared" si="94"/>
        <v>11</v>
      </c>
      <c r="E97" s="230" t="str">
        <f t="shared" si="95"/>
        <v>-</v>
      </c>
      <c r="F97" s="231">
        <f t="shared" si="96"/>
        <v>0</v>
      </c>
      <c r="G97" s="231">
        <f t="shared" si="97"/>
        <v>0</v>
      </c>
      <c r="H97" s="231">
        <f t="shared" si="98"/>
        <v>0</v>
      </c>
      <c r="I97" s="268">
        <f t="shared" si="83"/>
        <v>0</v>
      </c>
      <c r="J97" s="269">
        <f t="shared" si="99"/>
        <v>0</v>
      </c>
      <c r="K97" s="269">
        <f t="shared" si="100"/>
        <v>0</v>
      </c>
      <c r="L97" s="269">
        <f t="shared" si="84"/>
        <v>0</v>
      </c>
      <c r="M97" s="269">
        <f t="shared" si="85"/>
        <v>0</v>
      </c>
      <c r="N97" s="233">
        <f>VLOOKUP(B97,Dados!$L$86:$P$90,5)</f>
        <v>0</v>
      </c>
      <c r="O97" s="270">
        <f t="shared" si="101"/>
        <v>0.99999999999999989</v>
      </c>
      <c r="P97" s="269">
        <f t="shared" si="102"/>
        <v>0</v>
      </c>
      <c r="Q97" s="269" t="e">
        <f t="shared" si="103"/>
        <v>#DIV/0!</v>
      </c>
      <c r="R97" s="269">
        <f t="shared" si="104"/>
        <v>0</v>
      </c>
      <c r="S97" s="269" t="e">
        <f t="shared" si="105"/>
        <v>#DIV/0!</v>
      </c>
      <c r="T97" s="269" t="e">
        <f t="shared" si="91"/>
        <v>#DIV/0!</v>
      </c>
      <c r="U97" s="234">
        <f t="shared" si="106"/>
        <v>0</v>
      </c>
      <c r="V97" s="232" t="e">
        <f t="shared" si="107"/>
        <v>#DIV/0!</v>
      </c>
      <c r="W97" s="269" t="e">
        <f t="shared" si="108"/>
        <v>#DIV/0!</v>
      </c>
      <c r="X97" s="235">
        <f t="shared" si="86"/>
        <v>0</v>
      </c>
      <c r="Y97" s="236">
        <f t="shared" si="109"/>
        <v>5</v>
      </c>
      <c r="Z97" s="236" t="e">
        <f t="shared" si="110"/>
        <v>#DIV/0!</v>
      </c>
      <c r="AA97" s="236">
        <f t="shared" si="111"/>
        <v>3</v>
      </c>
      <c r="AB97" s="236" t="e">
        <f t="shared" si="112"/>
        <v>#DIV/0!</v>
      </c>
      <c r="AC97" s="235">
        <f t="shared" si="113"/>
        <v>0</v>
      </c>
      <c r="AD97" s="235">
        <f t="shared" si="114"/>
        <v>0</v>
      </c>
      <c r="AE97" s="279">
        <f t="shared" si="115"/>
        <v>0</v>
      </c>
      <c r="AF97" s="232">
        <f t="shared" si="116"/>
        <v>0</v>
      </c>
      <c r="AG97" s="235">
        <f t="shared" si="117"/>
        <v>0</v>
      </c>
      <c r="AH97" s="269">
        <f t="shared" si="118"/>
        <v>0</v>
      </c>
      <c r="AI97" s="232">
        <f t="shared" si="119"/>
        <v>0</v>
      </c>
      <c r="AJ97" s="235">
        <f t="shared" si="120"/>
        <v>0</v>
      </c>
      <c r="AK97" s="269">
        <f t="shared" si="121"/>
        <v>0</v>
      </c>
      <c r="AL97" s="269">
        <f t="shared" si="87"/>
        <v>0</v>
      </c>
      <c r="AM97" s="281" t="e">
        <f>IF(B97&gt;=mpfo,pos*vvm*Dados!$E$122*(ntudv-SUM(U98:$U$301))-SUM($AM$13:AM96),0)</f>
        <v>#DIV/0!</v>
      </c>
      <c r="AN97" s="269" t="e">
        <f t="shared" si="122"/>
        <v>#DIV/0!</v>
      </c>
      <c r="AO97" s="232" t="e">
        <f t="shared" si="123"/>
        <v>#DIV/0!</v>
      </c>
      <c r="AP97" s="242" t="e">
        <f t="shared" si="124"/>
        <v>#DIV/0!</v>
      </c>
      <c r="AQ97" s="235" t="e">
        <f>IF(AP97+SUM($AQ$12:AQ96)&gt;=0,0,-AP97-SUM($AQ$12:AQ96))</f>
        <v>#DIV/0!</v>
      </c>
      <c r="AR97" s="235">
        <f>IF(SUM($N$13:N96)&gt;=pmo,IF(SUM(N96:$N$501)&gt;(1-pmo),B97,0),0)</f>
        <v>0</v>
      </c>
      <c r="AS97" s="235" t="e">
        <f>IF((SUM($U$13:$U96)/ntudv)&gt;=pmv,IF((SUM($U96:$U$501)/ntudv)&gt;(1-pmv),B97,0),0)</f>
        <v>#DIV/0!</v>
      </c>
      <c r="AT97" s="237" t="e">
        <f>IF(MAX(mmo,mmv)=mmo,IF(B97=AR97,(SUM(N$13:$N96)-pmo)/((1-VLOOKUP(MAX(mmo,mmv)-1,$B$13:$O$501,14))+(VLOOKUP(MAX(mmo,mmv)-1,$B$13:$O$501,14)-pmo)),N96/((1-VLOOKUP(MAX(mmo,mmv)-1,$B$13:$O$501,14)+(VLOOKUP(MAX(mmo,mmv)-1,$B$13:$O$501,14)-pmo)))),N96/(1-VLOOKUP(MAX(mmo,mmv)-2,$B$13:$O$501,14)))</f>
        <v>#DIV/0!</v>
      </c>
      <c r="AU97" s="101" t="e">
        <f t="shared" si="88"/>
        <v>#DIV/0!</v>
      </c>
      <c r="AV97" s="287" t="e">
        <f t="shared" si="89"/>
        <v>#DIV/0!</v>
      </c>
      <c r="AW97" s="235" t="e">
        <f t="shared" si="125"/>
        <v>#DIV/0!</v>
      </c>
      <c r="AX97" s="281">
        <f>IF(B97&gt;mpfo,0,IF(B97=mpfo,(vld-teo*(1+tcfo-incc)^(MAX(mmo,mmv)-mbfo))*-1,IF(SUM($N$13:N96)&gt;=pmo,IF(($V96/ntudv)&gt;=pmv,IF(B97=MAX(mmo,mmv),-teo*(1+tcfo-incc)^(B97-mbfo),0),0),0)))</f>
        <v>0</v>
      </c>
      <c r="AY97" s="292" t="e">
        <f t="shared" si="90"/>
        <v>#DIV/0!</v>
      </c>
      <c r="AZ97" s="235" t="e">
        <f t="shared" si="126"/>
        <v>#DIV/0!</v>
      </c>
      <c r="BA97" s="269" t="e">
        <f t="shared" si="127"/>
        <v>#DIV/0!</v>
      </c>
      <c r="BB97" s="292" t="e">
        <f t="shared" si="128"/>
        <v>#DIV/0!</v>
      </c>
      <c r="BC97" s="238" t="e">
        <f>IF(SUM($BC$13:BC96)&gt;0,0,IF(BB97&gt;0,B97,0))</f>
        <v>#DIV/0!</v>
      </c>
      <c r="BD97" s="292" t="e">
        <f>IF(BB97+SUM($BD$12:BD96)&gt;=0,0,-BB97-SUM($BD$12:BD96))</f>
        <v>#DIV/0!</v>
      </c>
      <c r="BE97" s="235" t="e">
        <f>BB97+SUM($BD$12:BD97)</f>
        <v>#DIV/0!</v>
      </c>
      <c r="BF97" s="292" t="e">
        <f>-MIN(BE97:$BE$501)-SUM(BF$12:$BF96)</f>
        <v>#DIV/0!</v>
      </c>
      <c r="BG97" s="235" t="e">
        <f t="shared" si="93"/>
        <v>#DIV/0!</v>
      </c>
    </row>
    <row r="98" spans="2:59">
      <c r="B98" s="246">
        <v>85</v>
      </c>
      <c r="C98" s="241">
        <f t="shared" si="92"/>
        <v>45265</v>
      </c>
      <c r="D98" s="229">
        <f t="shared" si="94"/>
        <v>12</v>
      </c>
      <c r="E98" s="230" t="str">
        <f t="shared" si="95"/>
        <v>-</v>
      </c>
      <c r="F98" s="231">
        <f t="shared" si="96"/>
        <v>0</v>
      </c>
      <c r="G98" s="231">
        <f t="shared" si="97"/>
        <v>0</v>
      </c>
      <c r="H98" s="231">
        <f t="shared" si="98"/>
        <v>0</v>
      </c>
      <c r="I98" s="268">
        <f t="shared" si="83"/>
        <v>0</v>
      </c>
      <c r="J98" s="269">
        <f t="shared" si="99"/>
        <v>0</v>
      </c>
      <c r="K98" s="269">
        <f t="shared" si="100"/>
        <v>0</v>
      </c>
      <c r="L98" s="269">
        <f t="shared" si="84"/>
        <v>0</v>
      </c>
      <c r="M98" s="269">
        <f t="shared" si="85"/>
        <v>0</v>
      </c>
      <c r="N98" s="233">
        <f>VLOOKUP(B98,Dados!$L$86:$P$90,5)</f>
        <v>0</v>
      </c>
      <c r="O98" s="270">
        <f t="shared" si="101"/>
        <v>0.99999999999999989</v>
      </c>
      <c r="P98" s="269">
        <f t="shared" si="102"/>
        <v>0</v>
      </c>
      <c r="Q98" s="269" t="e">
        <f t="shared" si="103"/>
        <v>#DIV/0!</v>
      </c>
      <c r="R98" s="269">
        <f t="shared" si="104"/>
        <v>0</v>
      </c>
      <c r="S98" s="269" t="e">
        <f t="shared" si="105"/>
        <v>#DIV/0!</v>
      </c>
      <c r="T98" s="269" t="e">
        <f t="shared" si="91"/>
        <v>#DIV/0!</v>
      </c>
      <c r="U98" s="234">
        <f t="shared" si="106"/>
        <v>0</v>
      </c>
      <c r="V98" s="232" t="e">
        <f t="shared" si="107"/>
        <v>#DIV/0!</v>
      </c>
      <c r="W98" s="269" t="e">
        <f t="shared" si="108"/>
        <v>#DIV/0!</v>
      </c>
      <c r="X98" s="235">
        <f t="shared" si="86"/>
        <v>0</v>
      </c>
      <c r="Y98" s="236">
        <f t="shared" si="109"/>
        <v>5</v>
      </c>
      <c r="Z98" s="236" t="e">
        <f t="shared" si="110"/>
        <v>#DIV/0!</v>
      </c>
      <c r="AA98" s="236">
        <f t="shared" si="111"/>
        <v>3</v>
      </c>
      <c r="AB98" s="236" t="e">
        <f t="shared" si="112"/>
        <v>#DIV/0!</v>
      </c>
      <c r="AC98" s="235">
        <f t="shared" si="113"/>
        <v>0</v>
      </c>
      <c r="AD98" s="235">
        <f t="shared" si="114"/>
        <v>0</v>
      </c>
      <c r="AE98" s="279">
        <f t="shared" si="115"/>
        <v>0</v>
      </c>
      <c r="AF98" s="232">
        <f t="shared" si="116"/>
        <v>1</v>
      </c>
      <c r="AG98" s="235">
        <f t="shared" si="117"/>
        <v>0</v>
      </c>
      <c r="AH98" s="269">
        <f t="shared" si="118"/>
        <v>0</v>
      </c>
      <c r="AI98" s="232">
        <f t="shared" si="119"/>
        <v>1</v>
      </c>
      <c r="AJ98" s="235">
        <f t="shared" si="120"/>
        <v>0</v>
      </c>
      <c r="AK98" s="269">
        <f t="shared" si="121"/>
        <v>0</v>
      </c>
      <c r="AL98" s="269">
        <f t="shared" si="87"/>
        <v>0</v>
      </c>
      <c r="AM98" s="281" t="e">
        <f>IF(B98&gt;=mpfo,pos*vvm*Dados!$E$122*(ntudv-SUM(U99:$U$301))-SUM($AM$13:AM97),0)</f>
        <v>#DIV/0!</v>
      </c>
      <c r="AN98" s="269" t="e">
        <f t="shared" si="122"/>
        <v>#DIV/0!</v>
      </c>
      <c r="AO98" s="232" t="e">
        <f t="shared" si="123"/>
        <v>#DIV/0!</v>
      </c>
      <c r="AP98" s="242" t="e">
        <f t="shared" si="124"/>
        <v>#DIV/0!</v>
      </c>
      <c r="AQ98" s="235" t="e">
        <f>IF(AP98+SUM($AQ$12:AQ97)&gt;=0,0,-AP98-SUM($AQ$12:AQ97))</f>
        <v>#DIV/0!</v>
      </c>
      <c r="AR98" s="235">
        <f>IF(SUM($N$13:N97)&gt;=pmo,IF(SUM(N97:$N$501)&gt;(1-pmo),B98,0),0)</f>
        <v>0</v>
      </c>
      <c r="AS98" s="235" t="e">
        <f>IF((SUM($U$13:$U97)/ntudv)&gt;=pmv,IF((SUM($U97:$U$501)/ntudv)&gt;(1-pmv),B98,0),0)</f>
        <v>#DIV/0!</v>
      </c>
      <c r="AT98" s="237" t="e">
        <f>IF(MAX(mmo,mmv)=mmo,IF(B98=AR98,(SUM(N$13:$N97)-pmo)/((1-VLOOKUP(MAX(mmo,mmv)-1,$B$13:$O$501,14))+(VLOOKUP(MAX(mmo,mmv)-1,$B$13:$O$501,14)-pmo)),N97/((1-VLOOKUP(MAX(mmo,mmv)-1,$B$13:$O$501,14)+(VLOOKUP(MAX(mmo,mmv)-1,$B$13:$O$501,14)-pmo)))),N97/(1-VLOOKUP(MAX(mmo,mmv)-2,$B$13:$O$501,14)))</f>
        <v>#DIV/0!</v>
      </c>
      <c r="AU98" s="101" t="e">
        <f t="shared" si="88"/>
        <v>#DIV/0!</v>
      </c>
      <c r="AV98" s="287" t="e">
        <f t="shared" si="89"/>
        <v>#DIV/0!</v>
      </c>
      <c r="AW98" s="235" t="e">
        <f t="shared" si="125"/>
        <v>#DIV/0!</v>
      </c>
      <c r="AX98" s="281">
        <f>IF(B98&gt;mpfo,0,IF(B98=mpfo,(vld-teo*(1+tcfo-incc)^(MAX(mmo,mmv)-mbfo))*-1,IF(SUM($N$13:N97)&gt;=pmo,IF(($V97/ntudv)&gt;=pmv,IF(B98=MAX(mmo,mmv),-teo*(1+tcfo-incc)^(B98-mbfo),0),0),0)))</f>
        <v>0</v>
      </c>
      <c r="AY98" s="292" t="e">
        <f t="shared" si="90"/>
        <v>#DIV/0!</v>
      </c>
      <c r="AZ98" s="235" t="e">
        <f t="shared" si="126"/>
        <v>#DIV/0!</v>
      </c>
      <c r="BA98" s="269" t="e">
        <f t="shared" si="127"/>
        <v>#DIV/0!</v>
      </c>
      <c r="BB98" s="292" t="e">
        <f t="shared" si="128"/>
        <v>#DIV/0!</v>
      </c>
      <c r="BC98" s="238" t="e">
        <f>IF(SUM($BC$13:BC97)&gt;0,0,IF(BB98&gt;0,B98,0))</f>
        <v>#DIV/0!</v>
      </c>
      <c r="BD98" s="292" t="e">
        <f>IF(BB98+SUM($BD$12:BD97)&gt;=0,0,-BB98-SUM($BD$12:BD97))</f>
        <v>#DIV/0!</v>
      </c>
      <c r="BE98" s="235" t="e">
        <f>BB98+SUM($BD$12:BD98)</f>
        <v>#DIV/0!</v>
      </c>
      <c r="BF98" s="292" t="e">
        <f>-MIN(BE98:$BE$501)-SUM(BF$12:$BF97)</f>
        <v>#DIV/0!</v>
      </c>
      <c r="BG98" s="235" t="e">
        <f t="shared" si="93"/>
        <v>#DIV/0!</v>
      </c>
    </row>
    <row r="99" spans="2:59">
      <c r="B99" s="120">
        <v>86</v>
      </c>
      <c r="C99" s="241">
        <f t="shared" si="92"/>
        <v>45296</v>
      </c>
      <c r="D99" s="229">
        <f t="shared" si="94"/>
        <v>1</v>
      </c>
      <c r="E99" s="230" t="str">
        <f t="shared" si="95"/>
        <v>-</v>
      </c>
      <c r="F99" s="231">
        <f t="shared" si="96"/>
        <v>0</v>
      </c>
      <c r="G99" s="231">
        <f t="shared" si="97"/>
        <v>0</v>
      </c>
      <c r="H99" s="231">
        <f t="shared" si="98"/>
        <v>0</v>
      </c>
      <c r="I99" s="268">
        <f t="shared" si="83"/>
        <v>0</v>
      </c>
      <c r="J99" s="269">
        <f t="shared" si="99"/>
        <v>0</v>
      </c>
      <c r="K99" s="269">
        <f t="shared" si="100"/>
        <v>0</v>
      </c>
      <c r="L99" s="269">
        <f t="shared" si="84"/>
        <v>0</v>
      </c>
      <c r="M99" s="269">
        <f t="shared" si="85"/>
        <v>0</v>
      </c>
      <c r="N99" s="233">
        <f>VLOOKUP(B99,Dados!$L$86:$P$90,5)</f>
        <v>0</v>
      </c>
      <c r="O99" s="270">
        <f t="shared" si="101"/>
        <v>0.99999999999999989</v>
      </c>
      <c r="P99" s="269">
        <f t="shared" si="102"/>
        <v>0</v>
      </c>
      <c r="Q99" s="269" t="e">
        <f t="shared" si="103"/>
        <v>#DIV/0!</v>
      </c>
      <c r="R99" s="269">
        <f t="shared" si="104"/>
        <v>0</v>
      </c>
      <c r="S99" s="269" t="e">
        <f t="shared" si="105"/>
        <v>#DIV/0!</v>
      </c>
      <c r="T99" s="269" t="e">
        <f t="shared" si="91"/>
        <v>#DIV/0!</v>
      </c>
      <c r="U99" s="234">
        <f t="shared" si="106"/>
        <v>0</v>
      </c>
      <c r="V99" s="232" t="e">
        <f t="shared" si="107"/>
        <v>#DIV/0!</v>
      </c>
      <c r="W99" s="269" t="e">
        <f t="shared" si="108"/>
        <v>#DIV/0!</v>
      </c>
      <c r="X99" s="235">
        <f t="shared" si="86"/>
        <v>0</v>
      </c>
      <c r="Y99" s="236">
        <f t="shared" si="109"/>
        <v>5</v>
      </c>
      <c r="Z99" s="236" t="e">
        <f t="shared" si="110"/>
        <v>#DIV/0!</v>
      </c>
      <c r="AA99" s="236">
        <f t="shared" si="111"/>
        <v>3</v>
      </c>
      <c r="AB99" s="236" t="e">
        <f t="shared" si="112"/>
        <v>#DIV/0!</v>
      </c>
      <c r="AC99" s="235">
        <f t="shared" si="113"/>
        <v>0</v>
      </c>
      <c r="AD99" s="235">
        <f t="shared" si="114"/>
        <v>0</v>
      </c>
      <c r="AE99" s="279">
        <f t="shared" si="115"/>
        <v>0</v>
      </c>
      <c r="AF99" s="232">
        <f t="shared" si="116"/>
        <v>0</v>
      </c>
      <c r="AG99" s="235">
        <f t="shared" si="117"/>
        <v>0</v>
      </c>
      <c r="AH99" s="269">
        <f t="shared" si="118"/>
        <v>0</v>
      </c>
      <c r="AI99" s="232">
        <f t="shared" si="119"/>
        <v>0</v>
      </c>
      <c r="AJ99" s="235">
        <f t="shared" si="120"/>
        <v>0</v>
      </c>
      <c r="AK99" s="269">
        <f t="shared" si="121"/>
        <v>0</v>
      </c>
      <c r="AL99" s="269">
        <f t="shared" si="87"/>
        <v>0</v>
      </c>
      <c r="AM99" s="281" t="e">
        <f>IF(B99&gt;=mpfo,pos*vvm*Dados!$E$122*(ntudv-SUM(U100:$U$301))-SUM($AM$13:AM98),0)</f>
        <v>#DIV/0!</v>
      </c>
      <c r="AN99" s="269" t="e">
        <f t="shared" si="122"/>
        <v>#DIV/0!</v>
      </c>
      <c r="AO99" s="232" t="e">
        <f t="shared" si="123"/>
        <v>#DIV/0!</v>
      </c>
      <c r="AP99" s="242" t="e">
        <f t="shared" si="124"/>
        <v>#DIV/0!</v>
      </c>
      <c r="AQ99" s="235" t="e">
        <f>IF(AP99+SUM($AQ$12:AQ98)&gt;=0,0,-AP99-SUM($AQ$12:AQ98))</f>
        <v>#DIV/0!</v>
      </c>
      <c r="AR99" s="235">
        <f>IF(SUM($N$13:N98)&gt;=pmo,IF(SUM(N98:$N$501)&gt;(1-pmo),B99,0),0)</f>
        <v>0</v>
      </c>
      <c r="AS99" s="235" t="e">
        <f>IF((SUM($U$13:$U98)/ntudv)&gt;=pmv,IF((SUM($U98:$U$501)/ntudv)&gt;(1-pmv),B99,0),0)</f>
        <v>#DIV/0!</v>
      </c>
      <c r="AT99" s="237" t="e">
        <f>IF(MAX(mmo,mmv)=mmo,IF(B99=AR99,(SUM(N$13:$N98)-pmo)/((1-VLOOKUP(MAX(mmo,mmv)-1,$B$13:$O$501,14))+(VLOOKUP(MAX(mmo,mmv)-1,$B$13:$O$501,14)-pmo)),N98/((1-VLOOKUP(MAX(mmo,mmv)-1,$B$13:$O$501,14)+(VLOOKUP(MAX(mmo,mmv)-1,$B$13:$O$501,14)-pmo)))),N98/(1-VLOOKUP(MAX(mmo,mmv)-2,$B$13:$O$501,14)))</f>
        <v>#DIV/0!</v>
      </c>
      <c r="AU99" s="101" t="e">
        <f t="shared" si="88"/>
        <v>#DIV/0!</v>
      </c>
      <c r="AV99" s="287" t="e">
        <f t="shared" si="89"/>
        <v>#DIV/0!</v>
      </c>
      <c r="AW99" s="235" t="e">
        <f t="shared" si="125"/>
        <v>#DIV/0!</v>
      </c>
      <c r="AX99" s="281">
        <f>IF(B99&gt;mpfo,0,IF(B99=mpfo,(vld-teo*(1+tcfo-incc)^(MAX(mmo,mmv)-mbfo))*-1,IF(SUM($N$13:N98)&gt;=pmo,IF(($V98/ntudv)&gt;=pmv,IF(B99=MAX(mmo,mmv),-teo*(1+tcfo-incc)^(B99-mbfo),0),0),0)))</f>
        <v>0</v>
      </c>
      <c r="AY99" s="292" t="e">
        <f t="shared" si="90"/>
        <v>#DIV/0!</v>
      </c>
      <c r="AZ99" s="235" t="e">
        <f t="shared" si="126"/>
        <v>#DIV/0!</v>
      </c>
      <c r="BA99" s="269" t="e">
        <f t="shared" si="127"/>
        <v>#DIV/0!</v>
      </c>
      <c r="BB99" s="292" t="e">
        <f t="shared" si="128"/>
        <v>#DIV/0!</v>
      </c>
      <c r="BC99" s="238" t="e">
        <f>IF(SUM($BC$13:BC98)&gt;0,0,IF(BB99&gt;0,B99,0))</f>
        <v>#DIV/0!</v>
      </c>
      <c r="BD99" s="292" t="e">
        <f>IF(BB99+SUM($BD$12:BD98)&gt;=0,0,-BB99-SUM($BD$12:BD98))</f>
        <v>#DIV/0!</v>
      </c>
      <c r="BE99" s="235" t="e">
        <f>BB99+SUM($BD$12:BD99)</f>
        <v>#DIV/0!</v>
      </c>
      <c r="BF99" s="292" t="e">
        <f>-MIN(BE99:$BE$501)-SUM(BF$12:$BF98)</f>
        <v>#DIV/0!</v>
      </c>
      <c r="BG99" s="235" t="e">
        <f t="shared" si="93"/>
        <v>#DIV/0!</v>
      </c>
    </row>
    <row r="100" spans="2:59">
      <c r="B100" s="246">
        <v>87</v>
      </c>
      <c r="C100" s="241">
        <f t="shared" si="92"/>
        <v>45327</v>
      </c>
      <c r="D100" s="229">
        <f t="shared" si="94"/>
        <v>2</v>
      </c>
      <c r="E100" s="230" t="str">
        <f t="shared" si="95"/>
        <v>-</v>
      </c>
      <c r="F100" s="231">
        <f t="shared" si="96"/>
        <v>0</v>
      </c>
      <c r="G100" s="231">
        <f t="shared" si="97"/>
        <v>0</v>
      </c>
      <c r="H100" s="231">
        <f t="shared" si="98"/>
        <v>0</v>
      </c>
      <c r="I100" s="268">
        <f t="shared" si="83"/>
        <v>0</v>
      </c>
      <c r="J100" s="269">
        <f t="shared" si="99"/>
        <v>0</v>
      </c>
      <c r="K100" s="269">
        <f t="shared" si="100"/>
        <v>0</v>
      </c>
      <c r="L100" s="269">
        <f t="shared" si="84"/>
        <v>0</v>
      </c>
      <c r="M100" s="269">
        <f t="shared" si="85"/>
        <v>0</v>
      </c>
      <c r="N100" s="233">
        <f>VLOOKUP(B100,Dados!$L$86:$P$90,5)</f>
        <v>0</v>
      </c>
      <c r="O100" s="270">
        <f t="shared" si="101"/>
        <v>0.99999999999999989</v>
      </c>
      <c r="P100" s="269">
        <f t="shared" si="102"/>
        <v>0</v>
      </c>
      <c r="Q100" s="269" t="e">
        <f t="shared" si="103"/>
        <v>#DIV/0!</v>
      </c>
      <c r="R100" s="269">
        <f t="shared" si="104"/>
        <v>0</v>
      </c>
      <c r="S100" s="269" t="e">
        <f t="shared" si="105"/>
        <v>#DIV/0!</v>
      </c>
      <c r="T100" s="269" t="e">
        <f t="shared" si="91"/>
        <v>#DIV/0!</v>
      </c>
      <c r="U100" s="234">
        <f t="shared" si="106"/>
        <v>0</v>
      </c>
      <c r="V100" s="232" t="e">
        <f t="shared" si="107"/>
        <v>#DIV/0!</v>
      </c>
      <c r="W100" s="269" t="e">
        <f t="shared" si="108"/>
        <v>#DIV/0!</v>
      </c>
      <c r="X100" s="235">
        <f t="shared" si="86"/>
        <v>0</v>
      </c>
      <c r="Y100" s="236">
        <f t="shared" si="109"/>
        <v>5</v>
      </c>
      <c r="Z100" s="236" t="e">
        <f t="shared" si="110"/>
        <v>#DIV/0!</v>
      </c>
      <c r="AA100" s="236">
        <f t="shared" si="111"/>
        <v>3</v>
      </c>
      <c r="AB100" s="236" t="e">
        <f t="shared" si="112"/>
        <v>#DIV/0!</v>
      </c>
      <c r="AC100" s="235">
        <f t="shared" si="113"/>
        <v>0</v>
      </c>
      <c r="AD100" s="235">
        <f t="shared" si="114"/>
        <v>0</v>
      </c>
      <c r="AE100" s="279">
        <f t="shared" si="115"/>
        <v>0</v>
      </c>
      <c r="AF100" s="232">
        <f t="shared" si="116"/>
        <v>0</v>
      </c>
      <c r="AG100" s="235">
        <f t="shared" si="117"/>
        <v>0</v>
      </c>
      <c r="AH100" s="269">
        <f t="shared" si="118"/>
        <v>0</v>
      </c>
      <c r="AI100" s="232">
        <f t="shared" si="119"/>
        <v>0</v>
      </c>
      <c r="AJ100" s="235">
        <f t="shared" si="120"/>
        <v>0</v>
      </c>
      <c r="AK100" s="269">
        <f t="shared" si="121"/>
        <v>0</v>
      </c>
      <c r="AL100" s="269">
        <f t="shared" si="87"/>
        <v>0</v>
      </c>
      <c r="AM100" s="281" t="e">
        <f>IF(B100&gt;=mpfo,pos*vvm*Dados!$E$122*(ntudv-SUM(U101:$U$301))-SUM($AM$13:AM99),0)</f>
        <v>#DIV/0!</v>
      </c>
      <c r="AN100" s="269" t="e">
        <f t="shared" si="122"/>
        <v>#DIV/0!</v>
      </c>
      <c r="AO100" s="232" t="e">
        <f t="shared" si="123"/>
        <v>#DIV/0!</v>
      </c>
      <c r="AP100" s="242" t="e">
        <f t="shared" si="124"/>
        <v>#DIV/0!</v>
      </c>
      <c r="AQ100" s="235" t="e">
        <f>IF(AP100+SUM($AQ$12:AQ99)&gt;=0,0,-AP100-SUM($AQ$12:AQ99))</f>
        <v>#DIV/0!</v>
      </c>
      <c r="AR100" s="235">
        <f>IF(SUM($N$13:N99)&gt;=pmo,IF(SUM(N99:$N$501)&gt;(1-pmo),B100,0),0)</f>
        <v>0</v>
      </c>
      <c r="AS100" s="235" t="e">
        <f>IF((SUM($U$13:$U99)/ntudv)&gt;=pmv,IF((SUM($U99:$U$501)/ntudv)&gt;(1-pmv),B100,0),0)</f>
        <v>#DIV/0!</v>
      </c>
      <c r="AT100" s="237" t="e">
        <f>IF(MAX(mmo,mmv)=mmo,IF(B100=AR100,(SUM(N$13:$N99)-pmo)/((1-VLOOKUP(MAX(mmo,mmv)-1,$B$13:$O$501,14))+(VLOOKUP(MAX(mmo,mmv)-1,$B$13:$O$501,14)-pmo)),N99/((1-VLOOKUP(MAX(mmo,mmv)-1,$B$13:$O$501,14)+(VLOOKUP(MAX(mmo,mmv)-1,$B$13:$O$501,14)-pmo)))),N99/(1-VLOOKUP(MAX(mmo,mmv)-2,$B$13:$O$501,14)))</f>
        <v>#DIV/0!</v>
      </c>
      <c r="AU100" s="101" t="e">
        <f t="shared" si="88"/>
        <v>#DIV/0!</v>
      </c>
      <c r="AV100" s="287" t="e">
        <f t="shared" si="89"/>
        <v>#DIV/0!</v>
      </c>
      <c r="AW100" s="235" t="e">
        <f t="shared" si="125"/>
        <v>#DIV/0!</v>
      </c>
      <c r="AX100" s="281">
        <f>IF(B100&gt;mpfo,0,IF(B100=mpfo,(vld-teo*(1+tcfo-incc)^(MAX(mmo,mmv)-mbfo))*-1,IF(SUM($N$13:N99)&gt;=pmo,IF(($V99/ntudv)&gt;=pmv,IF(B100=MAX(mmo,mmv),-teo*(1+tcfo-incc)^(B100-mbfo),0),0),0)))</f>
        <v>0</v>
      </c>
      <c r="AY100" s="292" t="e">
        <f t="shared" si="90"/>
        <v>#DIV/0!</v>
      </c>
      <c r="AZ100" s="235" t="e">
        <f t="shared" si="126"/>
        <v>#DIV/0!</v>
      </c>
      <c r="BA100" s="269" t="e">
        <f t="shared" si="127"/>
        <v>#DIV/0!</v>
      </c>
      <c r="BB100" s="292" t="e">
        <f t="shared" si="128"/>
        <v>#DIV/0!</v>
      </c>
      <c r="BC100" s="238" t="e">
        <f>IF(SUM($BC$13:BC99)&gt;0,0,IF(BB100&gt;0,B100,0))</f>
        <v>#DIV/0!</v>
      </c>
      <c r="BD100" s="292" t="e">
        <f>IF(BB100+SUM($BD$12:BD99)&gt;=0,0,-BB100-SUM($BD$12:BD99))</f>
        <v>#DIV/0!</v>
      </c>
      <c r="BE100" s="235" t="e">
        <f>BB100+SUM($BD$12:BD100)</f>
        <v>#DIV/0!</v>
      </c>
      <c r="BF100" s="292" t="e">
        <f>-MIN(BE100:$BE$501)-SUM(BF$12:$BF99)</f>
        <v>#DIV/0!</v>
      </c>
      <c r="BG100" s="235" t="e">
        <f t="shared" si="93"/>
        <v>#DIV/0!</v>
      </c>
    </row>
    <row r="101" spans="2:59">
      <c r="B101" s="120">
        <v>88</v>
      </c>
      <c r="C101" s="241">
        <f t="shared" si="92"/>
        <v>45356</v>
      </c>
      <c r="D101" s="229">
        <f t="shared" si="94"/>
        <v>3</v>
      </c>
      <c r="E101" s="230" t="str">
        <f t="shared" si="95"/>
        <v>-</v>
      </c>
      <c r="F101" s="231">
        <f t="shared" si="96"/>
        <v>0</v>
      </c>
      <c r="G101" s="231">
        <f t="shared" si="97"/>
        <v>0</v>
      </c>
      <c r="H101" s="231">
        <f t="shared" si="98"/>
        <v>0</v>
      </c>
      <c r="I101" s="268">
        <f t="shared" si="83"/>
        <v>0</v>
      </c>
      <c r="J101" s="269">
        <f t="shared" si="99"/>
        <v>0</v>
      </c>
      <c r="K101" s="269">
        <f t="shared" si="100"/>
        <v>0</v>
      </c>
      <c r="L101" s="269">
        <f t="shared" si="84"/>
        <v>0</v>
      </c>
      <c r="M101" s="269">
        <f t="shared" si="85"/>
        <v>0</v>
      </c>
      <c r="N101" s="233">
        <f>VLOOKUP(B101,Dados!$L$86:$P$90,5)</f>
        <v>0</v>
      </c>
      <c r="O101" s="270">
        <f t="shared" si="101"/>
        <v>0.99999999999999989</v>
      </c>
      <c r="P101" s="269">
        <f t="shared" si="102"/>
        <v>0</v>
      </c>
      <c r="Q101" s="269" t="e">
        <f t="shared" si="103"/>
        <v>#DIV/0!</v>
      </c>
      <c r="R101" s="269">
        <f t="shared" si="104"/>
        <v>0</v>
      </c>
      <c r="S101" s="269" t="e">
        <f t="shared" si="105"/>
        <v>#DIV/0!</v>
      </c>
      <c r="T101" s="269" t="e">
        <f t="shared" si="91"/>
        <v>#DIV/0!</v>
      </c>
      <c r="U101" s="234">
        <f t="shared" si="106"/>
        <v>0</v>
      </c>
      <c r="V101" s="232" t="e">
        <f t="shared" si="107"/>
        <v>#DIV/0!</v>
      </c>
      <c r="W101" s="269" t="e">
        <f t="shared" si="108"/>
        <v>#DIV/0!</v>
      </c>
      <c r="X101" s="235">
        <f t="shared" si="86"/>
        <v>0</v>
      </c>
      <c r="Y101" s="236">
        <f t="shared" si="109"/>
        <v>5</v>
      </c>
      <c r="Z101" s="236" t="e">
        <f t="shared" si="110"/>
        <v>#DIV/0!</v>
      </c>
      <c r="AA101" s="236">
        <f t="shared" si="111"/>
        <v>3</v>
      </c>
      <c r="AB101" s="236" t="e">
        <f t="shared" si="112"/>
        <v>#DIV/0!</v>
      </c>
      <c r="AC101" s="235">
        <f t="shared" si="113"/>
        <v>0</v>
      </c>
      <c r="AD101" s="235">
        <f t="shared" si="114"/>
        <v>0</v>
      </c>
      <c r="AE101" s="279">
        <f t="shared" si="115"/>
        <v>0</v>
      </c>
      <c r="AF101" s="232">
        <f t="shared" si="116"/>
        <v>0</v>
      </c>
      <c r="AG101" s="235">
        <f t="shared" si="117"/>
        <v>0</v>
      </c>
      <c r="AH101" s="269">
        <f t="shared" si="118"/>
        <v>0</v>
      </c>
      <c r="AI101" s="232">
        <f t="shared" si="119"/>
        <v>0</v>
      </c>
      <c r="AJ101" s="235">
        <f t="shared" si="120"/>
        <v>0</v>
      </c>
      <c r="AK101" s="269">
        <f t="shared" si="121"/>
        <v>0</v>
      </c>
      <c r="AL101" s="269">
        <f t="shared" si="87"/>
        <v>0</v>
      </c>
      <c r="AM101" s="281" t="e">
        <f>IF(B101&gt;=mpfo,pos*vvm*Dados!$E$122*(ntudv-SUM(U102:$U$301))-SUM($AM$13:AM100),0)</f>
        <v>#DIV/0!</v>
      </c>
      <c r="AN101" s="269" t="e">
        <f t="shared" si="122"/>
        <v>#DIV/0!</v>
      </c>
      <c r="AO101" s="232" t="e">
        <f t="shared" si="123"/>
        <v>#DIV/0!</v>
      </c>
      <c r="AP101" s="242" t="e">
        <f t="shared" si="124"/>
        <v>#DIV/0!</v>
      </c>
      <c r="AQ101" s="235" t="e">
        <f>IF(AP101+SUM($AQ$12:AQ100)&gt;=0,0,-AP101-SUM($AQ$12:AQ100))</f>
        <v>#DIV/0!</v>
      </c>
      <c r="AR101" s="235">
        <f>IF(SUM($N$13:N100)&gt;=pmo,IF(SUM(N100:$N$501)&gt;(1-pmo),B101,0),0)</f>
        <v>0</v>
      </c>
      <c r="AS101" s="235" t="e">
        <f>IF((SUM($U$13:$U100)/ntudv)&gt;=pmv,IF((SUM($U100:$U$501)/ntudv)&gt;(1-pmv),B101,0),0)</f>
        <v>#DIV/0!</v>
      </c>
      <c r="AT101" s="237" t="e">
        <f>IF(MAX(mmo,mmv)=mmo,IF(B101=AR101,(SUM(N$13:$N100)-pmo)/((1-VLOOKUP(MAX(mmo,mmv)-1,$B$13:$O$501,14))+(VLOOKUP(MAX(mmo,mmv)-1,$B$13:$O$501,14)-pmo)),N100/((1-VLOOKUP(MAX(mmo,mmv)-1,$B$13:$O$501,14)+(VLOOKUP(MAX(mmo,mmv)-1,$B$13:$O$501,14)-pmo)))),N100/(1-VLOOKUP(MAX(mmo,mmv)-2,$B$13:$O$501,14)))</f>
        <v>#DIV/0!</v>
      </c>
      <c r="AU101" s="101" t="e">
        <f t="shared" si="88"/>
        <v>#DIV/0!</v>
      </c>
      <c r="AV101" s="287" t="e">
        <f t="shared" si="89"/>
        <v>#DIV/0!</v>
      </c>
      <c r="AW101" s="235" t="e">
        <f t="shared" si="125"/>
        <v>#DIV/0!</v>
      </c>
      <c r="AX101" s="281">
        <f>IF(B101&gt;mpfo,0,IF(B101=mpfo,(vld-teo*(1+tcfo-incc)^(MAX(mmo,mmv)-mbfo))*-1,IF(SUM($N$13:N100)&gt;=pmo,IF(($V100/ntudv)&gt;=pmv,IF(B101=MAX(mmo,mmv),-teo*(1+tcfo-incc)^(B101-mbfo),0),0),0)))</f>
        <v>0</v>
      </c>
      <c r="AY101" s="292" t="e">
        <f t="shared" si="90"/>
        <v>#DIV/0!</v>
      </c>
      <c r="AZ101" s="235" t="e">
        <f t="shared" si="126"/>
        <v>#DIV/0!</v>
      </c>
      <c r="BA101" s="269" t="e">
        <f t="shared" si="127"/>
        <v>#DIV/0!</v>
      </c>
      <c r="BB101" s="292" t="e">
        <f t="shared" si="128"/>
        <v>#DIV/0!</v>
      </c>
      <c r="BC101" s="238" t="e">
        <f>IF(SUM($BC$13:BC100)&gt;0,0,IF(BB101&gt;0,B101,0))</f>
        <v>#DIV/0!</v>
      </c>
      <c r="BD101" s="292" t="e">
        <f>IF(BB101+SUM($BD$12:BD100)&gt;=0,0,-BB101-SUM($BD$12:BD100))</f>
        <v>#DIV/0!</v>
      </c>
      <c r="BE101" s="235" t="e">
        <f>BB101+SUM($BD$12:BD101)</f>
        <v>#DIV/0!</v>
      </c>
      <c r="BF101" s="292" t="e">
        <f>-MIN(BE101:$BE$501)-SUM(BF$12:$BF100)</f>
        <v>#DIV/0!</v>
      </c>
      <c r="BG101" s="235" t="e">
        <f t="shared" si="93"/>
        <v>#DIV/0!</v>
      </c>
    </row>
    <row r="102" spans="2:59">
      <c r="B102" s="246">
        <v>89</v>
      </c>
      <c r="C102" s="241">
        <f t="shared" si="92"/>
        <v>45387</v>
      </c>
      <c r="D102" s="229">
        <f t="shared" si="94"/>
        <v>4</v>
      </c>
      <c r="E102" s="230" t="str">
        <f t="shared" si="95"/>
        <v>-</v>
      </c>
      <c r="F102" s="231">
        <f t="shared" si="96"/>
        <v>0</v>
      </c>
      <c r="G102" s="231">
        <f t="shared" si="97"/>
        <v>0</v>
      </c>
      <c r="H102" s="231">
        <f t="shared" si="98"/>
        <v>0</v>
      </c>
      <c r="I102" s="268">
        <f t="shared" si="83"/>
        <v>0</v>
      </c>
      <c r="J102" s="269">
        <f t="shared" si="99"/>
        <v>0</v>
      </c>
      <c r="K102" s="269">
        <f t="shared" si="100"/>
        <v>0</v>
      </c>
      <c r="L102" s="269">
        <f t="shared" si="84"/>
        <v>0</v>
      </c>
      <c r="M102" s="269">
        <f t="shared" si="85"/>
        <v>0</v>
      </c>
      <c r="N102" s="233">
        <f>VLOOKUP(B102,Dados!$L$86:$P$90,5)</f>
        <v>0</v>
      </c>
      <c r="O102" s="270">
        <f t="shared" si="101"/>
        <v>0.99999999999999989</v>
      </c>
      <c r="P102" s="269">
        <f t="shared" si="102"/>
        <v>0</v>
      </c>
      <c r="Q102" s="269" t="e">
        <f t="shared" si="103"/>
        <v>#DIV/0!</v>
      </c>
      <c r="R102" s="269">
        <f t="shared" si="104"/>
        <v>0</v>
      </c>
      <c r="S102" s="269" t="e">
        <f t="shared" si="105"/>
        <v>#DIV/0!</v>
      </c>
      <c r="T102" s="269" t="e">
        <f t="shared" si="91"/>
        <v>#DIV/0!</v>
      </c>
      <c r="U102" s="234">
        <f t="shared" si="106"/>
        <v>0</v>
      </c>
      <c r="V102" s="232" t="e">
        <f t="shared" si="107"/>
        <v>#DIV/0!</v>
      </c>
      <c r="W102" s="269" t="e">
        <f t="shared" si="108"/>
        <v>#DIV/0!</v>
      </c>
      <c r="X102" s="235">
        <f t="shared" si="86"/>
        <v>0</v>
      </c>
      <c r="Y102" s="236">
        <f t="shared" si="109"/>
        <v>5</v>
      </c>
      <c r="Z102" s="236" t="e">
        <f t="shared" si="110"/>
        <v>#DIV/0!</v>
      </c>
      <c r="AA102" s="236">
        <f t="shared" si="111"/>
        <v>3</v>
      </c>
      <c r="AB102" s="236" t="e">
        <f t="shared" si="112"/>
        <v>#DIV/0!</v>
      </c>
      <c r="AC102" s="235">
        <f t="shared" si="113"/>
        <v>0</v>
      </c>
      <c r="AD102" s="235">
        <f t="shared" si="114"/>
        <v>0</v>
      </c>
      <c r="AE102" s="279">
        <f t="shared" si="115"/>
        <v>0</v>
      </c>
      <c r="AF102" s="232">
        <f t="shared" si="116"/>
        <v>0</v>
      </c>
      <c r="AG102" s="235">
        <f t="shared" si="117"/>
        <v>0</v>
      </c>
      <c r="AH102" s="269">
        <f t="shared" si="118"/>
        <v>0</v>
      </c>
      <c r="AI102" s="232">
        <f t="shared" si="119"/>
        <v>0</v>
      </c>
      <c r="AJ102" s="235">
        <f t="shared" si="120"/>
        <v>0</v>
      </c>
      <c r="AK102" s="269">
        <f t="shared" si="121"/>
        <v>0</v>
      </c>
      <c r="AL102" s="269">
        <f t="shared" si="87"/>
        <v>0</v>
      </c>
      <c r="AM102" s="281" t="e">
        <f>IF(B102&gt;=mpfo,pos*vvm*Dados!$E$122*(ntudv-SUM(U103:$U$301))-SUM($AM$13:AM101),0)</f>
        <v>#DIV/0!</v>
      </c>
      <c r="AN102" s="269" t="e">
        <f t="shared" si="122"/>
        <v>#DIV/0!</v>
      </c>
      <c r="AO102" s="232" t="e">
        <f t="shared" si="123"/>
        <v>#DIV/0!</v>
      </c>
      <c r="AP102" s="242" t="e">
        <f t="shared" si="124"/>
        <v>#DIV/0!</v>
      </c>
      <c r="AQ102" s="235" t="e">
        <f>IF(AP102+SUM($AQ$12:AQ101)&gt;=0,0,-AP102-SUM($AQ$12:AQ101))</f>
        <v>#DIV/0!</v>
      </c>
      <c r="AR102" s="235">
        <f>IF(SUM($N$13:N101)&gt;=pmo,IF(SUM(N101:$N$501)&gt;(1-pmo),B102,0),0)</f>
        <v>0</v>
      </c>
      <c r="AS102" s="235" t="e">
        <f>IF((SUM($U$13:$U101)/ntudv)&gt;=pmv,IF((SUM($U101:$U$501)/ntudv)&gt;(1-pmv),B102,0),0)</f>
        <v>#DIV/0!</v>
      </c>
      <c r="AT102" s="237" t="e">
        <f>IF(MAX(mmo,mmv)=mmo,IF(B102=AR102,(SUM(N$13:$N101)-pmo)/((1-VLOOKUP(MAX(mmo,mmv)-1,$B$13:$O$501,14))+(VLOOKUP(MAX(mmo,mmv)-1,$B$13:$O$501,14)-pmo)),N101/((1-VLOOKUP(MAX(mmo,mmv)-1,$B$13:$O$501,14)+(VLOOKUP(MAX(mmo,mmv)-1,$B$13:$O$501,14)-pmo)))),N101/(1-VLOOKUP(MAX(mmo,mmv)-2,$B$13:$O$501,14)))</f>
        <v>#DIV/0!</v>
      </c>
      <c r="AU102" s="101" t="e">
        <f t="shared" si="88"/>
        <v>#DIV/0!</v>
      </c>
      <c r="AV102" s="287" t="e">
        <f t="shared" si="89"/>
        <v>#DIV/0!</v>
      </c>
      <c r="AW102" s="235" t="e">
        <f t="shared" si="125"/>
        <v>#DIV/0!</v>
      </c>
      <c r="AX102" s="281">
        <f>IF(B102&gt;mpfo,0,IF(B102=mpfo,(vld-teo*(1+tcfo-incc)^(MAX(mmo,mmv)-mbfo))*-1,IF(SUM($N$13:N101)&gt;=pmo,IF(($V101/ntudv)&gt;=pmv,IF(B102=MAX(mmo,mmv),-teo*(1+tcfo-incc)^(B102-mbfo),0),0),0)))</f>
        <v>0</v>
      </c>
      <c r="AY102" s="292" t="e">
        <f t="shared" si="90"/>
        <v>#DIV/0!</v>
      </c>
      <c r="AZ102" s="235" t="e">
        <f t="shared" si="126"/>
        <v>#DIV/0!</v>
      </c>
      <c r="BA102" s="269" t="e">
        <f t="shared" si="127"/>
        <v>#DIV/0!</v>
      </c>
      <c r="BB102" s="292" t="e">
        <f t="shared" si="128"/>
        <v>#DIV/0!</v>
      </c>
      <c r="BC102" s="238" t="e">
        <f>IF(SUM($BC$13:BC101)&gt;0,0,IF(BB102&gt;0,B102,0))</f>
        <v>#DIV/0!</v>
      </c>
      <c r="BD102" s="292" t="e">
        <f>IF(BB102+SUM($BD$12:BD101)&gt;=0,0,-BB102-SUM($BD$12:BD101))</f>
        <v>#DIV/0!</v>
      </c>
      <c r="BE102" s="235" t="e">
        <f>BB102+SUM($BD$12:BD102)</f>
        <v>#DIV/0!</v>
      </c>
      <c r="BF102" s="292" t="e">
        <f>-MIN(BE102:$BE$501)-SUM(BF$12:$BF101)</f>
        <v>#DIV/0!</v>
      </c>
      <c r="BG102" s="235" t="e">
        <f t="shared" si="93"/>
        <v>#DIV/0!</v>
      </c>
    </row>
    <row r="103" spans="2:59">
      <c r="B103" s="120">
        <v>90</v>
      </c>
      <c r="C103" s="241">
        <f t="shared" si="92"/>
        <v>45417</v>
      </c>
      <c r="D103" s="229">
        <f t="shared" si="94"/>
        <v>5</v>
      </c>
      <c r="E103" s="230" t="str">
        <f t="shared" si="95"/>
        <v>-</v>
      </c>
      <c r="F103" s="231">
        <f t="shared" si="96"/>
        <v>0</v>
      </c>
      <c r="G103" s="231">
        <f t="shared" si="97"/>
        <v>0</v>
      </c>
      <c r="H103" s="231">
        <f t="shared" si="98"/>
        <v>0</v>
      </c>
      <c r="I103" s="268">
        <f t="shared" si="83"/>
        <v>0</v>
      </c>
      <c r="J103" s="269">
        <f t="shared" si="99"/>
        <v>0</v>
      </c>
      <c r="K103" s="269">
        <f t="shared" si="100"/>
        <v>0</v>
      </c>
      <c r="L103" s="269">
        <f t="shared" si="84"/>
        <v>0</v>
      </c>
      <c r="M103" s="269">
        <f t="shared" si="85"/>
        <v>0</v>
      </c>
      <c r="N103" s="233">
        <f>VLOOKUP(B103,Dados!$L$86:$P$90,5)</f>
        <v>0</v>
      </c>
      <c r="O103" s="270">
        <f t="shared" si="101"/>
        <v>0.99999999999999989</v>
      </c>
      <c r="P103" s="269">
        <f t="shared" si="102"/>
        <v>0</v>
      </c>
      <c r="Q103" s="269" t="e">
        <f t="shared" si="103"/>
        <v>#DIV/0!</v>
      </c>
      <c r="R103" s="269">
        <f t="shared" si="104"/>
        <v>0</v>
      </c>
      <c r="S103" s="269" t="e">
        <f t="shared" si="105"/>
        <v>#DIV/0!</v>
      </c>
      <c r="T103" s="269" t="e">
        <f t="shared" si="91"/>
        <v>#DIV/0!</v>
      </c>
      <c r="U103" s="234">
        <f t="shared" si="106"/>
        <v>0</v>
      </c>
      <c r="V103" s="232" t="e">
        <f t="shared" si="107"/>
        <v>#DIV/0!</v>
      </c>
      <c r="W103" s="269" t="e">
        <f t="shared" si="108"/>
        <v>#DIV/0!</v>
      </c>
      <c r="X103" s="235">
        <f t="shared" si="86"/>
        <v>0</v>
      </c>
      <c r="Y103" s="236">
        <f t="shared" si="109"/>
        <v>5</v>
      </c>
      <c r="Z103" s="236" t="e">
        <f t="shared" si="110"/>
        <v>#DIV/0!</v>
      </c>
      <c r="AA103" s="236">
        <f t="shared" si="111"/>
        <v>3</v>
      </c>
      <c r="AB103" s="236" t="e">
        <f t="shared" si="112"/>
        <v>#DIV/0!</v>
      </c>
      <c r="AC103" s="235">
        <f t="shared" si="113"/>
        <v>0</v>
      </c>
      <c r="AD103" s="235">
        <f t="shared" si="114"/>
        <v>0</v>
      </c>
      <c r="AE103" s="279">
        <f t="shared" si="115"/>
        <v>0</v>
      </c>
      <c r="AF103" s="232">
        <f t="shared" si="116"/>
        <v>0</v>
      </c>
      <c r="AG103" s="235">
        <f t="shared" si="117"/>
        <v>0</v>
      </c>
      <c r="AH103" s="269">
        <f t="shared" si="118"/>
        <v>0</v>
      </c>
      <c r="AI103" s="232">
        <f t="shared" si="119"/>
        <v>0</v>
      </c>
      <c r="AJ103" s="235">
        <f t="shared" si="120"/>
        <v>0</v>
      </c>
      <c r="AK103" s="269">
        <f t="shared" si="121"/>
        <v>0</v>
      </c>
      <c r="AL103" s="269">
        <f t="shared" si="87"/>
        <v>0</v>
      </c>
      <c r="AM103" s="281" t="e">
        <f>IF(B103&gt;=mpfo,pos*vvm*Dados!$E$122*(ntudv-SUM(U104:$U$301))-SUM($AM$13:AM102),0)</f>
        <v>#DIV/0!</v>
      </c>
      <c r="AN103" s="269" t="e">
        <f t="shared" si="122"/>
        <v>#DIV/0!</v>
      </c>
      <c r="AO103" s="232" t="e">
        <f t="shared" si="123"/>
        <v>#DIV/0!</v>
      </c>
      <c r="AP103" s="242" t="e">
        <f t="shared" si="124"/>
        <v>#DIV/0!</v>
      </c>
      <c r="AQ103" s="235" t="e">
        <f>IF(AP103+SUM($AQ$12:AQ102)&gt;=0,0,-AP103-SUM($AQ$12:AQ102))</f>
        <v>#DIV/0!</v>
      </c>
      <c r="AR103" s="235">
        <f>IF(SUM($N$13:N102)&gt;=pmo,IF(SUM(N102:$N$501)&gt;(1-pmo),B103,0),0)</f>
        <v>0</v>
      </c>
      <c r="AS103" s="235" t="e">
        <f>IF((SUM($U$13:$U102)/ntudv)&gt;=pmv,IF((SUM($U102:$U$501)/ntudv)&gt;(1-pmv),B103,0),0)</f>
        <v>#DIV/0!</v>
      </c>
      <c r="AT103" s="237" t="e">
        <f>IF(MAX(mmo,mmv)=mmo,IF(B103=AR103,(SUM(N$13:$N102)-pmo)/((1-VLOOKUP(MAX(mmo,mmv)-1,$B$13:$O$501,14))+(VLOOKUP(MAX(mmo,mmv)-1,$B$13:$O$501,14)-pmo)),N102/((1-VLOOKUP(MAX(mmo,mmv)-1,$B$13:$O$501,14)+(VLOOKUP(MAX(mmo,mmv)-1,$B$13:$O$501,14)-pmo)))),N102/(1-VLOOKUP(MAX(mmo,mmv)-2,$B$13:$O$501,14)))</f>
        <v>#DIV/0!</v>
      </c>
      <c r="AU103" s="101" t="e">
        <f t="shared" si="88"/>
        <v>#DIV/0!</v>
      </c>
      <c r="AV103" s="287" t="e">
        <f t="shared" si="89"/>
        <v>#DIV/0!</v>
      </c>
      <c r="AW103" s="235" t="e">
        <f t="shared" si="125"/>
        <v>#DIV/0!</v>
      </c>
      <c r="AX103" s="281">
        <f>IF(B103&gt;mpfo,0,IF(B103=mpfo,(vld-teo*(1+tcfo-incc)^(MAX(mmo,mmv)-mbfo))*-1,IF(SUM($N$13:N102)&gt;=pmo,IF(($V102/ntudv)&gt;=pmv,IF(B103=MAX(mmo,mmv),-teo*(1+tcfo-incc)^(B103-mbfo),0),0),0)))</f>
        <v>0</v>
      </c>
      <c r="AY103" s="292" t="e">
        <f t="shared" si="90"/>
        <v>#DIV/0!</v>
      </c>
      <c r="AZ103" s="235" t="e">
        <f t="shared" si="126"/>
        <v>#DIV/0!</v>
      </c>
      <c r="BA103" s="269" t="e">
        <f t="shared" si="127"/>
        <v>#DIV/0!</v>
      </c>
      <c r="BB103" s="292" t="e">
        <f t="shared" si="128"/>
        <v>#DIV/0!</v>
      </c>
      <c r="BC103" s="238" t="e">
        <f>IF(SUM($BC$13:BC102)&gt;0,0,IF(BB103&gt;0,B103,0))</f>
        <v>#DIV/0!</v>
      </c>
      <c r="BD103" s="292" t="e">
        <f>IF(BB103+SUM($BD$12:BD102)&gt;=0,0,-BB103-SUM($BD$12:BD102))</f>
        <v>#DIV/0!</v>
      </c>
      <c r="BE103" s="235" t="e">
        <f>BB103+SUM($BD$12:BD103)</f>
        <v>#DIV/0!</v>
      </c>
      <c r="BF103" s="292" t="e">
        <f>-MIN(BE103:$BE$501)-SUM(BF$12:$BF102)</f>
        <v>#DIV/0!</v>
      </c>
      <c r="BG103" s="235" t="e">
        <f t="shared" si="93"/>
        <v>#DIV/0!</v>
      </c>
    </row>
    <row r="104" spans="2:59">
      <c r="B104" s="246">
        <v>91</v>
      </c>
      <c r="C104" s="241">
        <f t="shared" si="92"/>
        <v>45448</v>
      </c>
      <c r="D104" s="229">
        <f t="shared" si="94"/>
        <v>6</v>
      </c>
      <c r="E104" s="230" t="str">
        <f t="shared" si="95"/>
        <v>-</v>
      </c>
      <c r="F104" s="231">
        <f t="shared" si="96"/>
        <v>0</v>
      </c>
      <c r="G104" s="231">
        <f t="shared" si="97"/>
        <v>0</v>
      </c>
      <c r="H104" s="231">
        <f t="shared" si="98"/>
        <v>0</v>
      </c>
      <c r="I104" s="268">
        <f t="shared" si="83"/>
        <v>0</v>
      </c>
      <c r="J104" s="269">
        <f t="shared" si="99"/>
        <v>0</v>
      </c>
      <c r="K104" s="269">
        <f t="shared" si="100"/>
        <v>0</v>
      </c>
      <c r="L104" s="269">
        <f t="shared" si="84"/>
        <v>0</v>
      </c>
      <c r="M104" s="269">
        <f t="shared" si="85"/>
        <v>0</v>
      </c>
      <c r="N104" s="233">
        <f>VLOOKUP(B104,Dados!$L$86:$P$90,5)</f>
        <v>0</v>
      </c>
      <c r="O104" s="270">
        <f t="shared" si="101"/>
        <v>0.99999999999999989</v>
      </c>
      <c r="P104" s="269">
        <f t="shared" si="102"/>
        <v>0</v>
      </c>
      <c r="Q104" s="269" t="e">
        <f t="shared" si="103"/>
        <v>#DIV/0!</v>
      </c>
      <c r="R104" s="269">
        <f t="shared" si="104"/>
        <v>0</v>
      </c>
      <c r="S104" s="269" t="e">
        <f t="shared" si="105"/>
        <v>#DIV/0!</v>
      </c>
      <c r="T104" s="269" t="e">
        <f t="shared" si="91"/>
        <v>#DIV/0!</v>
      </c>
      <c r="U104" s="234">
        <f t="shared" si="106"/>
        <v>0</v>
      </c>
      <c r="V104" s="232" t="e">
        <f t="shared" si="107"/>
        <v>#DIV/0!</v>
      </c>
      <c r="W104" s="269" t="e">
        <f t="shared" si="108"/>
        <v>#DIV/0!</v>
      </c>
      <c r="X104" s="235">
        <f t="shared" si="86"/>
        <v>0</v>
      </c>
      <c r="Y104" s="236">
        <f t="shared" si="109"/>
        <v>5</v>
      </c>
      <c r="Z104" s="236" t="e">
        <f t="shared" si="110"/>
        <v>#DIV/0!</v>
      </c>
      <c r="AA104" s="236">
        <f t="shared" si="111"/>
        <v>3</v>
      </c>
      <c r="AB104" s="236" t="e">
        <f t="shared" si="112"/>
        <v>#DIV/0!</v>
      </c>
      <c r="AC104" s="235">
        <f t="shared" si="113"/>
        <v>0</v>
      </c>
      <c r="AD104" s="235">
        <f t="shared" si="114"/>
        <v>0</v>
      </c>
      <c r="AE104" s="279">
        <f t="shared" si="115"/>
        <v>0</v>
      </c>
      <c r="AF104" s="232">
        <f t="shared" si="116"/>
        <v>1</v>
      </c>
      <c r="AG104" s="235">
        <f t="shared" si="117"/>
        <v>0</v>
      </c>
      <c r="AH104" s="269">
        <f t="shared" si="118"/>
        <v>0</v>
      </c>
      <c r="AI104" s="232">
        <f t="shared" si="119"/>
        <v>0</v>
      </c>
      <c r="AJ104" s="235">
        <f t="shared" si="120"/>
        <v>0</v>
      </c>
      <c r="AK104" s="269">
        <f t="shared" si="121"/>
        <v>0</v>
      </c>
      <c r="AL104" s="269">
        <f t="shared" si="87"/>
        <v>0</v>
      </c>
      <c r="AM104" s="281" t="e">
        <f>IF(B104&gt;=mpfo,pos*vvm*Dados!$E$122*(ntudv-SUM(U105:$U$301))-SUM($AM$13:AM103),0)</f>
        <v>#DIV/0!</v>
      </c>
      <c r="AN104" s="269" t="e">
        <f t="shared" si="122"/>
        <v>#DIV/0!</v>
      </c>
      <c r="AO104" s="232" t="e">
        <f t="shared" si="123"/>
        <v>#DIV/0!</v>
      </c>
      <c r="AP104" s="242" t="e">
        <f t="shared" si="124"/>
        <v>#DIV/0!</v>
      </c>
      <c r="AQ104" s="235" t="e">
        <f>IF(AP104+SUM($AQ$12:AQ103)&gt;=0,0,-AP104-SUM($AQ$12:AQ103))</f>
        <v>#DIV/0!</v>
      </c>
      <c r="AR104" s="235">
        <f>IF(SUM($N$13:N103)&gt;=pmo,IF(SUM(N103:$N$501)&gt;(1-pmo),B104,0),0)</f>
        <v>0</v>
      </c>
      <c r="AS104" s="235" t="e">
        <f>IF((SUM($U$13:$U103)/ntudv)&gt;=pmv,IF((SUM($U103:$U$501)/ntudv)&gt;(1-pmv),B104,0),0)</f>
        <v>#DIV/0!</v>
      </c>
      <c r="AT104" s="237" t="e">
        <f>IF(MAX(mmo,mmv)=mmo,IF(B104=AR104,(SUM(N$13:$N103)-pmo)/((1-VLOOKUP(MAX(mmo,mmv)-1,$B$13:$O$501,14))+(VLOOKUP(MAX(mmo,mmv)-1,$B$13:$O$501,14)-pmo)),N103/((1-VLOOKUP(MAX(mmo,mmv)-1,$B$13:$O$501,14)+(VLOOKUP(MAX(mmo,mmv)-1,$B$13:$O$501,14)-pmo)))),N103/(1-VLOOKUP(MAX(mmo,mmv)-2,$B$13:$O$501,14)))</f>
        <v>#DIV/0!</v>
      </c>
      <c r="AU104" s="101" t="e">
        <f t="shared" si="88"/>
        <v>#DIV/0!</v>
      </c>
      <c r="AV104" s="287" t="e">
        <f t="shared" si="89"/>
        <v>#DIV/0!</v>
      </c>
      <c r="AW104" s="235" t="e">
        <f t="shared" si="125"/>
        <v>#DIV/0!</v>
      </c>
      <c r="AX104" s="281">
        <f>IF(B104&gt;mpfo,0,IF(B104=mpfo,(vld-teo*(1+tcfo-incc)^(MAX(mmo,mmv)-mbfo))*-1,IF(SUM($N$13:N103)&gt;=pmo,IF(($V103/ntudv)&gt;=pmv,IF(B104=MAX(mmo,mmv),-teo*(1+tcfo-incc)^(B104-mbfo),0),0),0)))</f>
        <v>0</v>
      </c>
      <c r="AY104" s="292" t="e">
        <f t="shared" si="90"/>
        <v>#DIV/0!</v>
      </c>
      <c r="AZ104" s="235" t="e">
        <f t="shared" si="126"/>
        <v>#DIV/0!</v>
      </c>
      <c r="BA104" s="269" t="e">
        <f t="shared" si="127"/>
        <v>#DIV/0!</v>
      </c>
      <c r="BB104" s="292" t="e">
        <f t="shared" si="128"/>
        <v>#DIV/0!</v>
      </c>
      <c r="BC104" s="238" t="e">
        <f>IF(SUM($BC$13:BC103)&gt;0,0,IF(BB104&gt;0,B104,0))</f>
        <v>#DIV/0!</v>
      </c>
      <c r="BD104" s="292" t="e">
        <f>IF(BB104+SUM($BD$12:BD103)&gt;=0,0,-BB104-SUM($BD$12:BD103))</f>
        <v>#DIV/0!</v>
      </c>
      <c r="BE104" s="235" t="e">
        <f>BB104+SUM($BD$12:BD104)</f>
        <v>#DIV/0!</v>
      </c>
      <c r="BF104" s="292" t="e">
        <f>-MIN(BE104:$BE$501)-SUM(BF$12:$BF103)</f>
        <v>#DIV/0!</v>
      </c>
      <c r="BG104" s="235" t="e">
        <f t="shared" si="93"/>
        <v>#DIV/0!</v>
      </c>
    </row>
    <row r="105" spans="2:59">
      <c r="B105" s="120">
        <v>92</v>
      </c>
      <c r="C105" s="241">
        <f t="shared" si="92"/>
        <v>45478</v>
      </c>
      <c r="D105" s="229">
        <f t="shared" si="94"/>
        <v>7</v>
      </c>
      <c r="E105" s="230" t="str">
        <f t="shared" si="95"/>
        <v>-</v>
      </c>
      <c r="F105" s="231">
        <f t="shared" si="96"/>
        <v>0</v>
      </c>
      <c r="G105" s="231">
        <f t="shared" si="97"/>
        <v>0</v>
      </c>
      <c r="H105" s="231">
        <f t="shared" si="98"/>
        <v>0</v>
      </c>
      <c r="I105" s="268">
        <f t="shared" si="83"/>
        <v>0</v>
      </c>
      <c r="J105" s="269">
        <f t="shared" si="99"/>
        <v>0</v>
      </c>
      <c r="K105" s="269">
        <f t="shared" si="100"/>
        <v>0</v>
      </c>
      <c r="L105" s="269">
        <f t="shared" si="84"/>
        <v>0</v>
      </c>
      <c r="M105" s="269">
        <f t="shared" si="85"/>
        <v>0</v>
      </c>
      <c r="N105" s="233">
        <f>VLOOKUP(B105,Dados!$L$86:$P$90,5)</f>
        <v>0</v>
      </c>
      <c r="O105" s="270">
        <f t="shared" si="101"/>
        <v>0.99999999999999989</v>
      </c>
      <c r="P105" s="269">
        <f t="shared" si="102"/>
        <v>0</v>
      </c>
      <c r="Q105" s="269" t="e">
        <f t="shared" si="103"/>
        <v>#DIV/0!</v>
      </c>
      <c r="R105" s="269">
        <f t="shared" si="104"/>
        <v>0</v>
      </c>
      <c r="S105" s="269" t="e">
        <f t="shared" si="105"/>
        <v>#DIV/0!</v>
      </c>
      <c r="T105" s="269" t="e">
        <f t="shared" si="91"/>
        <v>#DIV/0!</v>
      </c>
      <c r="U105" s="234">
        <f t="shared" si="106"/>
        <v>0</v>
      </c>
      <c r="V105" s="232" t="e">
        <f t="shared" si="107"/>
        <v>#DIV/0!</v>
      </c>
      <c r="W105" s="269" t="e">
        <f t="shared" si="108"/>
        <v>#DIV/0!</v>
      </c>
      <c r="X105" s="235">
        <f t="shared" si="86"/>
        <v>0</v>
      </c>
      <c r="Y105" s="236">
        <f t="shared" si="109"/>
        <v>5</v>
      </c>
      <c r="Z105" s="236" t="e">
        <f t="shared" si="110"/>
        <v>#DIV/0!</v>
      </c>
      <c r="AA105" s="236">
        <f t="shared" si="111"/>
        <v>3</v>
      </c>
      <c r="AB105" s="236" t="e">
        <f t="shared" si="112"/>
        <v>#DIV/0!</v>
      </c>
      <c r="AC105" s="235">
        <f t="shared" si="113"/>
        <v>0</v>
      </c>
      <c r="AD105" s="235">
        <f t="shared" si="114"/>
        <v>0</v>
      </c>
      <c r="AE105" s="279">
        <f t="shared" si="115"/>
        <v>0</v>
      </c>
      <c r="AF105" s="232">
        <f t="shared" si="116"/>
        <v>0</v>
      </c>
      <c r="AG105" s="235">
        <f t="shared" si="117"/>
        <v>0</v>
      </c>
      <c r="AH105" s="269">
        <f t="shared" si="118"/>
        <v>0</v>
      </c>
      <c r="AI105" s="232">
        <f t="shared" si="119"/>
        <v>0</v>
      </c>
      <c r="AJ105" s="235">
        <f t="shared" si="120"/>
        <v>0</v>
      </c>
      <c r="AK105" s="269">
        <f t="shared" si="121"/>
        <v>0</v>
      </c>
      <c r="AL105" s="269">
        <f t="shared" si="87"/>
        <v>0</v>
      </c>
      <c r="AM105" s="281" t="e">
        <f>IF(B105&gt;=mpfo,pos*vvm*Dados!$E$122*(ntudv-SUM(U106:$U$301))-SUM($AM$13:AM104),0)</f>
        <v>#DIV/0!</v>
      </c>
      <c r="AN105" s="269" t="e">
        <f t="shared" si="122"/>
        <v>#DIV/0!</v>
      </c>
      <c r="AO105" s="232" t="e">
        <f t="shared" si="123"/>
        <v>#DIV/0!</v>
      </c>
      <c r="AP105" s="242" t="e">
        <f t="shared" si="124"/>
        <v>#DIV/0!</v>
      </c>
      <c r="AQ105" s="235" t="e">
        <f>IF(AP105+SUM($AQ$12:AQ104)&gt;=0,0,-AP105-SUM($AQ$12:AQ104))</f>
        <v>#DIV/0!</v>
      </c>
      <c r="AR105" s="235">
        <f>IF(SUM($N$13:N104)&gt;=pmo,IF(SUM(N104:$N$501)&gt;(1-pmo),B105,0),0)</f>
        <v>0</v>
      </c>
      <c r="AS105" s="235" t="e">
        <f>IF((SUM($U$13:$U104)/ntudv)&gt;=pmv,IF((SUM($U104:$U$501)/ntudv)&gt;(1-pmv),B105,0),0)</f>
        <v>#DIV/0!</v>
      </c>
      <c r="AT105" s="237" t="e">
        <f>IF(MAX(mmo,mmv)=mmo,IF(B105=AR105,(SUM(N$13:$N104)-pmo)/((1-VLOOKUP(MAX(mmo,mmv)-1,$B$13:$O$501,14))+(VLOOKUP(MAX(mmo,mmv)-1,$B$13:$O$501,14)-pmo)),N104/((1-VLOOKUP(MAX(mmo,mmv)-1,$B$13:$O$501,14)+(VLOOKUP(MAX(mmo,mmv)-1,$B$13:$O$501,14)-pmo)))),N104/(1-VLOOKUP(MAX(mmo,mmv)-2,$B$13:$O$501,14)))</f>
        <v>#DIV/0!</v>
      </c>
      <c r="AU105" s="101" t="e">
        <f t="shared" si="88"/>
        <v>#DIV/0!</v>
      </c>
      <c r="AV105" s="287" t="e">
        <f t="shared" si="89"/>
        <v>#DIV/0!</v>
      </c>
      <c r="AW105" s="235" t="e">
        <f t="shared" si="125"/>
        <v>#DIV/0!</v>
      </c>
      <c r="AX105" s="281">
        <f>IF(B105&gt;mpfo,0,IF(B105=mpfo,(vld-teo*(1+tcfo-incc)^(MAX(mmo,mmv)-mbfo))*-1,IF(SUM($N$13:N104)&gt;=pmo,IF(($V104/ntudv)&gt;=pmv,IF(B105=MAX(mmo,mmv),-teo*(1+tcfo-incc)^(B105-mbfo),0),0),0)))</f>
        <v>0</v>
      </c>
      <c r="AY105" s="292" t="e">
        <f t="shared" si="90"/>
        <v>#DIV/0!</v>
      </c>
      <c r="AZ105" s="235" t="e">
        <f t="shared" si="126"/>
        <v>#DIV/0!</v>
      </c>
      <c r="BA105" s="269" t="e">
        <f t="shared" si="127"/>
        <v>#DIV/0!</v>
      </c>
      <c r="BB105" s="292" t="e">
        <f t="shared" si="128"/>
        <v>#DIV/0!</v>
      </c>
      <c r="BC105" s="238" t="e">
        <f>IF(SUM($BC$13:BC104)&gt;0,0,IF(BB105&gt;0,B105,0))</f>
        <v>#DIV/0!</v>
      </c>
      <c r="BD105" s="292" t="e">
        <f>IF(BB105+SUM($BD$12:BD104)&gt;=0,0,-BB105-SUM($BD$12:BD104))</f>
        <v>#DIV/0!</v>
      </c>
      <c r="BE105" s="235" t="e">
        <f>BB105+SUM($BD$12:BD105)</f>
        <v>#DIV/0!</v>
      </c>
      <c r="BF105" s="292" t="e">
        <f>-MIN(BE105:$BE$501)-SUM(BF$12:$BF104)</f>
        <v>#DIV/0!</v>
      </c>
      <c r="BG105" s="235" t="e">
        <f t="shared" si="93"/>
        <v>#DIV/0!</v>
      </c>
    </row>
    <row r="106" spans="2:59">
      <c r="B106" s="246">
        <v>93</v>
      </c>
      <c r="C106" s="241">
        <f t="shared" si="92"/>
        <v>45509</v>
      </c>
      <c r="D106" s="229">
        <f t="shared" si="94"/>
        <v>8</v>
      </c>
      <c r="E106" s="230" t="str">
        <f t="shared" si="95"/>
        <v>-</v>
      </c>
      <c r="F106" s="231">
        <f t="shared" si="96"/>
        <v>0</v>
      </c>
      <c r="G106" s="231">
        <f t="shared" si="97"/>
        <v>0</v>
      </c>
      <c r="H106" s="231">
        <f t="shared" si="98"/>
        <v>0</v>
      </c>
      <c r="I106" s="268">
        <f t="shared" si="83"/>
        <v>0</v>
      </c>
      <c r="J106" s="269">
        <f t="shared" si="99"/>
        <v>0</v>
      </c>
      <c r="K106" s="269">
        <f t="shared" si="100"/>
        <v>0</v>
      </c>
      <c r="L106" s="269">
        <f t="shared" si="84"/>
        <v>0</v>
      </c>
      <c r="M106" s="269">
        <f t="shared" si="85"/>
        <v>0</v>
      </c>
      <c r="N106" s="233">
        <f>VLOOKUP(B106,Dados!$L$86:$P$90,5)</f>
        <v>0</v>
      </c>
      <c r="O106" s="270">
        <f t="shared" si="101"/>
        <v>0.99999999999999989</v>
      </c>
      <c r="P106" s="269">
        <f t="shared" si="102"/>
        <v>0</v>
      </c>
      <c r="Q106" s="269" t="e">
        <f t="shared" si="103"/>
        <v>#DIV/0!</v>
      </c>
      <c r="R106" s="269">
        <f t="shared" si="104"/>
        <v>0</v>
      </c>
      <c r="S106" s="269" t="e">
        <f t="shared" si="105"/>
        <v>#DIV/0!</v>
      </c>
      <c r="T106" s="269" t="e">
        <f t="shared" si="91"/>
        <v>#DIV/0!</v>
      </c>
      <c r="U106" s="234">
        <f t="shared" si="106"/>
        <v>0</v>
      </c>
      <c r="V106" s="232" t="e">
        <f t="shared" si="107"/>
        <v>#DIV/0!</v>
      </c>
      <c r="W106" s="269" t="e">
        <f t="shared" si="108"/>
        <v>#DIV/0!</v>
      </c>
      <c r="X106" s="235">
        <f t="shared" si="86"/>
        <v>0</v>
      </c>
      <c r="Y106" s="236">
        <f t="shared" si="109"/>
        <v>5</v>
      </c>
      <c r="Z106" s="236" t="e">
        <f t="shared" si="110"/>
        <v>#DIV/0!</v>
      </c>
      <c r="AA106" s="236">
        <f t="shared" si="111"/>
        <v>3</v>
      </c>
      <c r="AB106" s="236" t="e">
        <f t="shared" si="112"/>
        <v>#DIV/0!</v>
      </c>
      <c r="AC106" s="235">
        <f t="shared" si="113"/>
        <v>0</v>
      </c>
      <c r="AD106" s="235">
        <f t="shared" si="114"/>
        <v>0</v>
      </c>
      <c r="AE106" s="279">
        <f t="shared" si="115"/>
        <v>0</v>
      </c>
      <c r="AF106" s="232">
        <f t="shared" si="116"/>
        <v>0</v>
      </c>
      <c r="AG106" s="235">
        <f t="shared" si="117"/>
        <v>0</v>
      </c>
      <c r="AH106" s="269">
        <f t="shared" si="118"/>
        <v>0</v>
      </c>
      <c r="AI106" s="232">
        <f t="shared" si="119"/>
        <v>0</v>
      </c>
      <c r="AJ106" s="235">
        <f t="shared" si="120"/>
        <v>0</v>
      </c>
      <c r="AK106" s="269">
        <f t="shared" si="121"/>
        <v>0</v>
      </c>
      <c r="AL106" s="269">
        <f t="shared" si="87"/>
        <v>0</v>
      </c>
      <c r="AM106" s="281" t="e">
        <f>IF(B106&gt;=mpfo,pos*vvm*Dados!$E$122*(ntudv-SUM(U107:$U$301))-SUM($AM$13:AM105),0)</f>
        <v>#DIV/0!</v>
      </c>
      <c r="AN106" s="269" t="e">
        <f t="shared" si="122"/>
        <v>#DIV/0!</v>
      </c>
      <c r="AO106" s="232" t="e">
        <f t="shared" si="123"/>
        <v>#DIV/0!</v>
      </c>
      <c r="AP106" s="242" t="e">
        <f t="shared" si="124"/>
        <v>#DIV/0!</v>
      </c>
      <c r="AQ106" s="235" t="e">
        <f>IF(AP106+SUM($AQ$12:AQ105)&gt;=0,0,-AP106-SUM($AQ$12:AQ105))</f>
        <v>#DIV/0!</v>
      </c>
      <c r="AR106" s="235">
        <f>IF(SUM($N$13:N105)&gt;=pmo,IF(SUM(N105:$N$501)&gt;(1-pmo),B106,0),0)</f>
        <v>0</v>
      </c>
      <c r="AS106" s="235" t="e">
        <f>IF((SUM($U$13:$U105)/ntudv)&gt;=pmv,IF((SUM($U105:$U$501)/ntudv)&gt;(1-pmv),B106,0),0)</f>
        <v>#DIV/0!</v>
      </c>
      <c r="AT106" s="237" t="e">
        <f>IF(MAX(mmo,mmv)=mmo,IF(B106=AR106,(SUM(N$13:$N105)-pmo)/((1-VLOOKUP(MAX(mmo,mmv)-1,$B$13:$O$501,14))+(VLOOKUP(MAX(mmo,mmv)-1,$B$13:$O$501,14)-pmo)),N105/((1-VLOOKUP(MAX(mmo,mmv)-1,$B$13:$O$501,14)+(VLOOKUP(MAX(mmo,mmv)-1,$B$13:$O$501,14)-pmo)))),N105/(1-VLOOKUP(MAX(mmo,mmv)-2,$B$13:$O$501,14)))</f>
        <v>#DIV/0!</v>
      </c>
      <c r="AU106" s="101" t="e">
        <f t="shared" si="88"/>
        <v>#DIV/0!</v>
      </c>
      <c r="AV106" s="287" t="e">
        <f t="shared" si="89"/>
        <v>#DIV/0!</v>
      </c>
      <c r="AW106" s="235" t="e">
        <f t="shared" si="125"/>
        <v>#DIV/0!</v>
      </c>
      <c r="AX106" s="281">
        <f>IF(B106&gt;mpfo,0,IF(B106=mpfo,(vld-teo*(1+tcfo-incc)^(MAX(mmo,mmv)-mbfo))*-1,IF(SUM($N$13:N105)&gt;=pmo,IF(($V105/ntudv)&gt;=pmv,IF(B106=MAX(mmo,mmv),-teo*(1+tcfo-incc)^(B106-mbfo),0),0),0)))</f>
        <v>0</v>
      </c>
      <c r="AY106" s="292" t="e">
        <f t="shared" si="90"/>
        <v>#DIV/0!</v>
      </c>
      <c r="AZ106" s="235" t="e">
        <f t="shared" si="126"/>
        <v>#DIV/0!</v>
      </c>
      <c r="BA106" s="269" t="e">
        <f t="shared" si="127"/>
        <v>#DIV/0!</v>
      </c>
      <c r="BB106" s="292" t="e">
        <f t="shared" si="128"/>
        <v>#DIV/0!</v>
      </c>
      <c r="BC106" s="238" t="e">
        <f>IF(SUM($BC$13:BC105)&gt;0,0,IF(BB106&gt;0,B106,0))</f>
        <v>#DIV/0!</v>
      </c>
      <c r="BD106" s="292" t="e">
        <f>IF(BB106+SUM($BD$12:BD105)&gt;=0,0,-BB106-SUM($BD$12:BD105))</f>
        <v>#DIV/0!</v>
      </c>
      <c r="BE106" s="235" t="e">
        <f>BB106+SUM($BD$12:BD106)</f>
        <v>#DIV/0!</v>
      </c>
      <c r="BF106" s="292" t="e">
        <f>-MIN(BE106:$BE$501)-SUM(BF$12:$BF105)</f>
        <v>#DIV/0!</v>
      </c>
      <c r="BG106" s="235" t="e">
        <f t="shared" si="93"/>
        <v>#DIV/0!</v>
      </c>
    </row>
    <row r="107" spans="2:59">
      <c r="B107" s="120">
        <v>94</v>
      </c>
      <c r="C107" s="241">
        <f t="shared" si="92"/>
        <v>45540</v>
      </c>
      <c r="D107" s="229">
        <f t="shared" si="94"/>
        <v>9</v>
      </c>
      <c r="E107" s="230" t="str">
        <f t="shared" si="95"/>
        <v>-</v>
      </c>
      <c r="F107" s="231">
        <f t="shared" si="96"/>
        <v>0</v>
      </c>
      <c r="G107" s="231">
        <f t="shared" si="97"/>
        <v>0</v>
      </c>
      <c r="H107" s="231">
        <f t="shared" si="98"/>
        <v>0</v>
      </c>
      <c r="I107" s="268">
        <f t="shared" si="83"/>
        <v>0</v>
      </c>
      <c r="J107" s="269">
        <f t="shared" si="99"/>
        <v>0</v>
      </c>
      <c r="K107" s="269">
        <f t="shared" si="100"/>
        <v>0</v>
      </c>
      <c r="L107" s="269">
        <f t="shared" si="84"/>
        <v>0</v>
      </c>
      <c r="M107" s="269">
        <f t="shared" si="85"/>
        <v>0</v>
      </c>
      <c r="N107" s="233">
        <f>VLOOKUP(B107,Dados!$L$86:$P$90,5)</f>
        <v>0</v>
      </c>
      <c r="O107" s="270">
        <f t="shared" si="101"/>
        <v>0.99999999999999989</v>
      </c>
      <c r="P107" s="269">
        <f t="shared" si="102"/>
        <v>0</v>
      </c>
      <c r="Q107" s="269" t="e">
        <f t="shared" si="103"/>
        <v>#DIV/0!</v>
      </c>
      <c r="R107" s="269">
        <f t="shared" si="104"/>
        <v>0</v>
      </c>
      <c r="S107" s="269" t="e">
        <f t="shared" si="105"/>
        <v>#DIV/0!</v>
      </c>
      <c r="T107" s="269" t="e">
        <f t="shared" si="91"/>
        <v>#DIV/0!</v>
      </c>
      <c r="U107" s="234">
        <f t="shared" si="106"/>
        <v>0</v>
      </c>
      <c r="V107" s="232" t="e">
        <f t="shared" si="107"/>
        <v>#DIV/0!</v>
      </c>
      <c r="W107" s="269" t="e">
        <f t="shared" si="108"/>
        <v>#DIV/0!</v>
      </c>
      <c r="X107" s="235">
        <f t="shared" si="86"/>
        <v>0</v>
      </c>
      <c r="Y107" s="236">
        <f t="shared" si="109"/>
        <v>5</v>
      </c>
      <c r="Z107" s="236" t="e">
        <f t="shared" si="110"/>
        <v>#DIV/0!</v>
      </c>
      <c r="AA107" s="236">
        <f t="shared" si="111"/>
        <v>3</v>
      </c>
      <c r="AB107" s="236" t="e">
        <f t="shared" si="112"/>
        <v>#DIV/0!</v>
      </c>
      <c r="AC107" s="235">
        <f t="shared" si="113"/>
        <v>0</v>
      </c>
      <c r="AD107" s="235">
        <f t="shared" si="114"/>
        <v>0</v>
      </c>
      <c r="AE107" s="279">
        <f t="shared" si="115"/>
        <v>0</v>
      </c>
      <c r="AF107" s="232">
        <f t="shared" si="116"/>
        <v>0</v>
      </c>
      <c r="AG107" s="235">
        <f t="shared" si="117"/>
        <v>0</v>
      </c>
      <c r="AH107" s="269">
        <f t="shared" si="118"/>
        <v>0</v>
      </c>
      <c r="AI107" s="232">
        <f t="shared" si="119"/>
        <v>0</v>
      </c>
      <c r="AJ107" s="235">
        <f t="shared" si="120"/>
        <v>0</v>
      </c>
      <c r="AK107" s="269">
        <f t="shared" si="121"/>
        <v>0</v>
      </c>
      <c r="AL107" s="269">
        <f t="shared" si="87"/>
        <v>0</v>
      </c>
      <c r="AM107" s="281" t="e">
        <f>IF(B107&gt;=mpfo,pos*vvm*Dados!$E$122*(ntudv-SUM(U108:$U$301))-SUM($AM$13:AM106),0)</f>
        <v>#DIV/0!</v>
      </c>
      <c r="AN107" s="269" t="e">
        <f t="shared" si="122"/>
        <v>#DIV/0!</v>
      </c>
      <c r="AO107" s="232" t="e">
        <f t="shared" si="123"/>
        <v>#DIV/0!</v>
      </c>
      <c r="AP107" s="242" t="e">
        <f t="shared" si="124"/>
        <v>#DIV/0!</v>
      </c>
      <c r="AQ107" s="235" t="e">
        <f>IF(AP107+SUM($AQ$12:AQ106)&gt;=0,0,-AP107-SUM($AQ$12:AQ106))</f>
        <v>#DIV/0!</v>
      </c>
      <c r="AR107" s="235">
        <f>IF(SUM($N$13:N106)&gt;=pmo,IF(SUM(N106:$N$501)&gt;(1-pmo),B107,0),0)</f>
        <v>0</v>
      </c>
      <c r="AS107" s="235" t="e">
        <f>IF((SUM($U$13:$U106)/ntudv)&gt;=pmv,IF((SUM($U106:$U$501)/ntudv)&gt;(1-pmv),B107,0),0)</f>
        <v>#DIV/0!</v>
      </c>
      <c r="AT107" s="237" t="e">
        <f>IF(MAX(mmo,mmv)=mmo,IF(B107=AR107,(SUM(N$13:$N106)-pmo)/((1-VLOOKUP(MAX(mmo,mmv)-1,$B$13:$O$501,14))+(VLOOKUP(MAX(mmo,mmv)-1,$B$13:$O$501,14)-pmo)),N106/((1-VLOOKUP(MAX(mmo,mmv)-1,$B$13:$O$501,14)+(VLOOKUP(MAX(mmo,mmv)-1,$B$13:$O$501,14)-pmo)))),N106/(1-VLOOKUP(MAX(mmo,mmv)-2,$B$13:$O$501,14)))</f>
        <v>#DIV/0!</v>
      </c>
      <c r="AU107" s="101" t="e">
        <f t="shared" si="88"/>
        <v>#DIV/0!</v>
      </c>
      <c r="AV107" s="287" t="e">
        <f t="shared" si="89"/>
        <v>#DIV/0!</v>
      </c>
      <c r="AW107" s="235" t="e">
        <f t="shared" si="125"/>
        <v>#DIV/0!</v>
      </c>
      <c r="AX107" s="281">
        <f>IF(B107&gt;mpfo,0,IF(B107=mpfo,(vld-teo*(1+tcfo-incc)^(MAX(mmo,mmv)-mbfo))*-1,IF(SUM($N$13:N106)&gt;=pmo,IF(($V106/ntudv)&gt;=pmv,IF(B107=MAX(mmo,mmv),-teo*(1+tcfo-incc)^(B107-mbfo),0),0),0)))</f>
        <v>0</v>
      </c>
      <c r="AY107" s="292" t="e">
        <f t="shared" si="90"/>
        <v>#DIV/0!</v>
      </c>
      <c r="AZ107" s="235" t="e">
        <f t="shared" si="126"/>
        <v>#DIV/0!</v>
      </c>
      <c r="BA107" s="269" t="e">
        <f t="shared" si="127"/>
        <v>#DIV/0!</v>
      </c>
      <c r="BB107" s="292" t="e">
        <f t="shared" si="128"/>
        <v>#DIV/0!</v>
      </c>
      <c r="BC107" s="238" t="e">
        <f>IF(SUM($BC$13:BC106)&gt;0,0,IF(BB107&gt;0,B107,0))</f>
        <v>#DIV/0!</v>
      </c>
      <c r="BD107" s="292" t="e">
        <f>IF(BB107+SUM($BD$12:BD106)&gt;=0,0,-BB107-SUM($BD$12:BD106))</f>
        <v>#DIV/0!</v>
      </c>
      <c r="BE107" s="235" t="e">
        <f>BB107+SUM($BD$12:BD107)</f>
        <v>#DIV/0!</v>
      </c>
      <c r="BF107" s="292" t="e">
        <f>-MIN(BE107:$BE$501)-SUM(BF$12:$BF106)</f>
        <v>#DIV/0!</v>
      </c>
      <c r="BG107" s="235" t="e">
        <f t="shared" si="93"/>
        <v>#DIV/0!</v>
      </c>
    </row>
    <row r="108" spans="2:59">
      <c r="B108" s="246">
        <v>95</v>
      </c>
      <c r="C108" s="241">
        <f t="shared" si="92"/>
        <v>45570</v>
      </c>
      <c r="D108" s="229">
        <f t="shared" si="94"/>
        <v>10</v>
      </c>
      <c r="E108" s="230" t="str">
        <f t="shared" si="95"/>
        <v>-</v>
      </c>
      <c r="F108" s="231">
        <f t="shared" si="96"/>
        <v>0</v>
      </c>
      <c r="G108" s="231">
        <f t="shared" si="97"/>
        <v>0</v>
      </c>
      <c r="H108" s="231">
        <f t="shared" si="98"/>
        <v>0</v>
      </c>
      <c r="I108" s="268">
        <f t="shared" si="83"/>
        <v>0</v>
      </c>
      <c r="J108" s="269">
        <f t="shared" si="99"/>
        <v>0</v>
      </c>
      <c r="K108" s="269">
        <f t="shared" si="100"/>
        <v>0</v>
      </c>
      <c r="L108" s="269">
        <f t="shared" si="84"/>
        <v>0</v>
      </c>
      <c r="M108" s="269">
        <f t="shared" si="85"/>
        <v>0</v>
      </c>
      <c r="N108" s="233">
        <f>VLOOKUP(B108,Dados!$L$86:$P$90,5)</f>
        <v>0</v>
      </c>
      <c r="O108" s="270">
        <f t="shared" si="101"/>
        <v>0.99999999999999989</v>
      </c>
      <c r="P108" s="269">
        <f t="shared" si="102"/>
        <v>0</v>
      </c>
      <c r="Q108" s="269" t="e">
        <f t="shared" si="103"/>
        <v>#DIV/0!</v>
      </c>
      <c r="R108" s="269">
        <f t="shared" si="104"/>
        <v>0</v>
      </c>
      <c r="S108" s="269" t="e">
        <f t="shared" si="105"/>
        <v>#DIV/0!</v>
      </c>
      <c r="T108" s="269" t="e">
        <f t="shared" si="91"/>
        <v>#DIV/0!</v>
      </c>
      <c r="U108" s="234">
        <f t="shared" si="106"/>
        <v>0</v>
      </c>
      <c r="V108" s="232" t="e">
        <f t="shared" si="107"/>
        <v>#DIV/0!</v>
      </c>
      <c r="W108" s="269" t="e">
        <f t="shared" si="108"/>
        <v>#DIV/0!</v>
      </c>
      <c r="X108" s="235">
        <f t="shared" si="86"/>
        <v>0</v>
      </c>
      <c r="Y108" s="236">
        <f t="shared" si="109"/>
        <v>5</v>
      </c>
      <c r="Z108" s="236" t="e">
        <f t="shared" si="110"/>
        <v>#DIV/0!</v>
      </c>
      <c r="AA108" s="236">
        <f t="shared" si="111"/>
        <v>3</v>
      </c>
      <c r="AB108" s="236" t="e">
        <f t="shared" si="112"/>
        <v>#DIV/0!</v>
      </c>
      <c r="AC108" s="235">
        <f t="shared" si="113"/>
        <v>0</v>
      </c>
      <c r="AD108" s="235">
        <f t="shared" si="114"/>
        <v>0</v>
      </c>
      <c r="AE108" s="279">
        <f t="shared" si="115"/>
        <v>0</v>
      </c>
      <c r="AF108" s="232">
        <f t="shared" si="116"/>
        <v>0</v>
      </c>
      <c r="AG108" s="235">
        <f t="shared" si="117"/>
        <v>0</v>
      </c>
      <c r="AH108" s="269">
        <f t="shared" si="118"/>
        <v>0</v>
      </c>
      <c r="AI108" s="232">
        <f t="shared" si="119"/>
        <v>0</v>
      </c>
      <c r="AJ108" s="235">
        <f t="shared" si="120"/>
        <v>0</v>
      </c>
      <c r="AK108" s="269">
        <f t="shared" si="121"/>
        <v>0</v>
      </c>
      <c r="AL108" s="269">
        <f t="shared" si="87"/>
        <v>0</v>
      </c>
      <c r="AM108" s="281" t="e">
        <f>IF(B108&gt;=mpfo,pos*vvm*Dados!$E$122*(ntudv-SUM(U109:$U$301))-SUM($AM$13:AM107),0)</f>
        <v>#DIV/0!</v>
      </c>
      <c r="AN108" s="269" t="e">
        <f t="shared" si="122"/>
        <v>#DIV/0!</v>
      </c>
      <c r="AO108" s="232" t="e">
        <f t="shared" si="123"/>
        <v>#DIV/0!</v>
      </c>
      <c r="AP108" s="242" t="e">
        <f t="shared" si="124"/>
        <v>#DIV/0!</v>
      </c>
      <c r="AQ108" s="235" t="e">
        <f>IF(AP108+SUM($AQ$12:AQ107)&gt;=0,0,-AP108-SUM($AQ$12:AQ107))</f>
        <v>#DIV/0!</v>
      </c>
      <c r="AR108" s="235">
        <f>IF(SUM($N$13:N107)&gt;=pmo,IF(SUM(N107:$N$501)&gt;(1-pmo),B108,0),0)</f>
        <v>0</v>
      </c>
      <c r="AS108" s="235" t="e">
        <f>IF((SUM($U$13:$U107)/ntudv)&gt;=pmv,IF((SUM($U107:$U$501)/ntudv)&gt;(1-pmv),B108,0),0)</f>
        <v>#DIV/0!</v>
      </c>
      <c r="AT108" s="237" t="e">
        <f>IF(MAX(mmo,mmv)=mmo,IF(B108=AR108,(SUM(N$13:$N107)-pmo)/((1-VLOOKUP(MAX(mmo,mmv)-1,$B$13:$O$501,14))+(VLOOKUP(MAX(mmo,mmv)-1,$B$13:$O$501,14)-pmo)),N107/((1-VLOOKUP(MAX(mmo,mmv)-1,$B$13:$O$501,14)+(VLOOKUP(MAX(mmo,mmv)-1,$B$13:$O$501,14)-pmo)))),N107/(1-VLOOKUP(MAX(mmo,mmv)-2,$B$13:$O$501,14)))</f>
        <v>#DIV/0!</v>
      </c>
      <c r="AU108" s="101" t="e">
        <f t="shared" si="88"/>
        <v>#DIV/0!</v>
      </c>
      <c r="AV108" s="287" t="e">
        <f t="shared" si="89"/>
        <v>#DIV/0!</v>
      </c>
      <c r="AW108" s="235" t="e">
        <f t="shared" si="125"/>
        <v>#DIV/0!</v>
      </c>
      <c r="AX108" s="281">
        <f>IF(B108&gt;mpfo,0,IF(B108=mpfo,(vld-teo*(1+tcfo-incc)^(MAX(mmo,mmv)-mbfo))*-1,IF(SUM($N$13:N107)&gt;=pmo,IF(($V107/ntudv)&gt;=pmv,IF(B108=MAX(mmo,mmv),-teo*(1+tcfo-incc)^(B108-mbfo),0),0),0)))</f>
        <v>0</v>
      </c>
      <c r="AY108" s="292" t="e">
        <f t="shared" si="90"/>
        <v>#DIV/0!</v>
      </c>
      <c r="AZ108" s="235" t="e">
        <f t="shared" si="126"/>
        <v>#DIV/0!</v>
      </c>
      <c r="BA108" s="269" t="e">
        <f t="shared" si="127"/>
        <v>#DIV/0!</v>
      </c>
      <c r="BB108" s="292" t="e">
        <f t="shared" si="128"/>
        <v>#DIV/0!</v>
      </c>
      <c r="BC108" s="238" t="e">
        <f>IF(SUM($BC$13:BC107)&gt;0,0,IF(BB108&gt;0,B108,0))</f>
        <v>#DIV/0!</v>
      </c>
      <c r="BD108" s="292" t="e">
        <f>IF(BB108+SUM($BD$12:BD107)&gt;=0,0,-BB108-SUM($BD$12:BD107))</f>
        <v>#DIV/0!</v>
      </c>
      <c r="BE108" s="235" t="e">
        <f>BB108+SUM($BD$12:BD108)</f>
        <v>#DIV/0!</v>
      </c>
      <c r="BF108" s="292" t="e">
        <f>-MIN(BE108:$BE$501)-SUM(BF$12:$BF107)</f>
        <v>#DIV/0!</v>
      </c>
      <c r="BG108" s="235" t="e">
        <f t="shared" si="93"/>
        <v>#DIV/0!</v>
      </c>
    </row>
    <row r="109" spans="2:59">
      <c r="B109" s="120">
        <v>96</v>
      </c>
      <c r="C109" s="241">
        <f t="shared" si="92"/>
        <v>45601</v>
      </c>
      <c r="D109" s="229">
        <f t="shared" si="94"/>
        <v>11</v>
      </c>
      <c r="E109" s="230" t="str">
        <f t="shared" si="95"/>
        <v>-</v>
      </c>
      <c r="F109" s="231">
        <f t="shared" si="96"/>
        <v>0</v>
      </c>
      <c r="G109" s="231">
        <f t="shared" si="97"/>
        <v>0</v>
      </c>
      <c r="H109" s="231">
        <f t="shared" si="98"/>
        <v>0</v>
      </c>
      <c r="I109" s="268">
        <f t="shared" si="83"/>
        <v>0</v>
      </c>
      <c r="J109" s="269">
        <f t="shared" si="99"/>
        <v>0</v>
      </c>
      <c r="K109" s="269">
        <f t="shared" si="100"/>
        <v>0</v>
      </c>
      <c r="L109" s="269">
        <f t="shared" si="84"/>
        <v>0</v>
      </c>
      <c r="M109" s="269">
        <f t="shared" si="85"/>
        <v>0</v>
      </c>
      <c r="N109" s="233">
        <f>VLOOKUP(B109,Dados!$L$86:$P$90,5)</f>
        <v>0</v>
      </c>
      <c r="O109" s="270">
        <f t="shared" si="101"/>
        <v>0.99999999999999989</v>
      </c>
      <c r="P109" s="269">
        <f t="shared" si="102"/>
        <v>0</v>
      </c>
      <c r="Q109" s="269" t="e">
        <f t="shared" si="103"/>
        <v>#DIV/0!</v>
      </c>
      <c r="R109" s="269">
        <f t="shared" si="104"/>
        <v>0</v>
      </c>
      <c r="S109" s="269" t="e">
        <f t="shared" si="105"/>
        <v>#DIV/0!</v>
      </c>
      <c r="T109" s="269" t="e">
        <f t="shared" si="91"/>
        <v>#DIV/0!</v>
      </c>
      <c r="U109" s="234">
        <f t="shared" si="106"/>
        <v>0</v>
      </c>
      <c r="V109" s="232" t="e">
        <f t="shared" si="107"/>
        <v>#DIV/0!</v>
      </c>
      <c r="W109" s="269" t="e">
        <f t="shared" si="108"/>
        <v>#DIV/0!</v>
      </c>
      <c r="X109" s="235">
        <f t="shared" si="86"/>
        <v>0</v>
      </c>
      <c r="Y109" s="236">
        <f t="shared" si="109"/>
        <v>5</v>
      </c>
      <c r="Z109" s="236" t="e">
        <f t="shared" si="110"/>
        <v>#DIV/0!</v>
      </c>
      <c r="AA109" s="236">
        <f t="shared" si="111"/>
        <v>3</v>
      </c>
      <c r="AB109" s="236" t="e">
        <f t="shared" si="112"/>
        <v>#DIV/0!</v>
      </c>
      <c r="AC109" s="235">
        <f t="shared" si="113"/>
        <v>0</v>
      </c>
      <c r="AD109" s="235">
        <f t="shared" si="114"/>
        <v>0</v>
      </c>
      <c r="AE109" s="279">
        <f t="shared" si="115"/>
        <v>0</v>
      </c>
      <c r="AF109" s="232">
        <f t="shared" si="116"/>
        <v>0</v>
      </c>
      <c r="AG109" s="235">
        <f t="shared" si="117"/>
        <v>0</v>
      </c>
      <c r="AH109" s="269">
        <f t="shared" si="118"/>
        <v>0</v>
      </c>
      <c r="AI109" s="232">
        <f t="shared" si="119"/>
        <v>0</v>
      </c>
      <c r="AJ109" s="235">
        <f t="shared" si="120"/>
        <v>0</v>
      </c>
      <c r="AK109" s="269">
        <f t="shared" si="121"/>
        <v>0</v>
      </c>
      <c r="AL109" s="269">
        <f t="shared" si="87"/>
        <v>0</v>
      </c>
      <c r="AM109" s="281" t="e">
        <f>IF(B109&gt;=mpfo,pos*vvm*Dados!$E$122*(ntudv-SUM(U110:$U$301))-SUM($AM$13:AM108),0)</f>
        <v>#DIV/0!</v>
      </c>
      <c r="AN109" s="269" t="e">
        <f t="shared" si="122"/>
        <v>#DIV/0!</v>
      </c>
      <c r="AO109" s="232" t="e">
        <f t="shared" si="123"/>
        <v>#DIV/0!</v>
      </c>
      <c r="AP109" s="242" t="e">
        <f t="shared" si="124"/>
        <v>#DIV/0!</v>
      </c>
      <c r="AQ109" s="235" t="e">
        <f>IF(AP109+SUM($AQ$12:AQ108)&gt;=0,0,-AP109-SUM($AQ$12:AQ108))</f>
        <v>#DIV/0!</v>
      </c>
      <c r="AR109" s="235">
        <f>IF(SUM($N$13:N108)&gt;=pmo,IF(SUM(N108:$N$501)&gt;(1-pmo),B109,0),0)</f>
        <v>0</v>
      </c>
      <c r="AS109" s="235" t="e">
        <f>IF((SUM($U$13:$U108)/ntudv)&gt;=pmv,IF((SUM($U108:$U$501)/ntudv)&gt;(1-pmv),B109,0),0)</f>
        <v>#DIV/0!</v>
      </c>
      <c r="AT109" s="237" t="e">
        <f>IF(MAX(mmo,mmv)=mmo,IF(B109=AR109,(SUM(N$13:$N108)-pmo)/((1-VLOOKUP(MAX(mmo,mmv)-1,$B$13:$O$501,14))+(VLOOKUP(MAX(mmo,mmv)-1,$B$13:$O$501,14)-pmo)),N108/((1-VLOOKUP(MAX(mmo,mmv)-1,$B$13:$O$501,14)+(VLOOKUP(MAX(mmo,mmv)-1,$B$13:$O$501,14)-pmo)))),N108/(1-VLOOKUP(MAX(mmo,mmv)-2,$B$13:$O$501,14)))</f>
        <v>#DIV/0!</v>
      </c>
      <c r="AU109" s="101" t="e">
        <f t="shared" si="88"/>
        <v>#DIV/0!</v>
      </c>
      <c r="AV109" s="287" t="e">
        <f t="shared" si="89"/>
        <v>#DIV/0!</v>
      </c>
      <c r="AW109" s="235" t="e">
        <f t="shared" si="125"/>
        <v>#DIV/0!</v>
      </c>
      <c r="AX109" s="281">
        <f>IF(B109&gt;mpfo,0,IF(B109=mpfo,(vld-teo*(1+tcfo-incc)^(MAX(mmo,mmv)-mbfo))*-1,IF(SUM($N$13:N108)&gt;=pmo,IF(($V108/ntudv)&gt;=pmv,IF(B109=MAX(mmo,mmv),-teo*(1+tcfo-incc)^(B109-mbfo),0),0),0)))</f>
        <v>0</v>
      </c>
      <c r="AY109" s="292" t="e">
        <f t="shared" si="90"/>
        <v>#DIV/0!</v>
      </c>
      <c r="AZ109" s="235" t="e">
        <f t="shared" si="126"/>
        <v>#DIV/0!</v>
      </c>
      <c r="BA109" s="269" t="e">
        <f t="shared" si="127"/>
        <v>#DIV/0!</v>
      </c>
      <c r="BB109" s="292" t="e">
        <f t="shared" si="128"/>
        <v>#DIV/0!</v>
      </c>
      <c r="BC109" s="238" t="e">
        <f>IF(SUM($BC$13:BC108)&gt;0,0,IF(BB109&gt;0,B109,0))</f>
        <v>#DIV/0!</v>
      </c>
      <c r="BD109" s="292" t="e">
        <f>IF(BB109+SUM($BD$12:BD108)&gt;=0,0,-BB109-SUM($BD$12:BD108))</f>
        <v>#DIV/0!</v>
      </c>
      <c r="BE109" s="235" t="e">
        <f>BB109+SUM($BD$12:BD109)</f>
        <v>#DIV/0!</v>
      </c>
      <c r="BF109" s="292" t="e">
        <f>-MIN(BE109:$BE$501)-SUM(BF$12:$BF108)</f>
        <v>#DIV/0!</v>
      </c>
      <c r="BG109" s="235" t="e">
        <f t="shared" si="93"/>
        <v>#DIV/0!</v>
      </c>
    </row>
    <row r="110" spans="2:59">
      <c r="B110" s="246">
        <v>97</v>
      </c>
      <c r="C110" s="241">
        <f t="shared" si="92"/>
        <v>45631</v>
      </c>
      <c r="D110" s="229">
        <f t="shared" si="94"/>
        <v>12</v>
      </c>
      <c r="E110" s="230" t="str">
        <f t="shared" si="95"/>
        <v>-</v>
      </c>
      <c r="F110" s="231">
        <f t="shared" si="96"/>
        <v>0</v>
      </c>
      <c r="G110" s="231">
        <f t="shared" si="97"/>
        <v>0</v>
      </c>
      <c r="H110" s="231">
        <f t="shared" si="98"/>
        <v>0</v>
      </c>
      <c r="I110" s="268">
        <f t="shared" si="83"/>
        <v>0</v>
      </c>
      <c r="J110" s="269">
        <f t="shared" si="99"/>
        <v>0</v>
      </c>
      <c r="K110" s="269">
        <f t="shared" si="100"/>
        <v>0</v>
      </c>
      <c r="L110" s="269">
        <f t="shared" si="84"/>
        <v>0</v>
      </c>
      <c r="M110" s="269">
        <f t="shared" si="85"/>
        <v>0</v>
      </c>
      <c r="N110" s="233">
        <f>VLOOKUP(B110,Dados!$L$86:$P$90,5)</f>
        <v>0</v>
      </c>
      <c r="O110" s="270">
        <f t="shared" si="101"/>
        <v>0.99999999999999989</v>
      </c>
      <c r="P110" s="269">
        <f t="shared" si="102"/>
        <v>0</v>
      </c>
      <c r="Q110" s="269" t="e">
        <f t="shared" si="103"/>
        <v>#DIV/0!</v>
      </c>
      <c r="R110" s="269">
        <f t="shared" si="104"/>
        <v>0</v>
      </c>
      <c r="S110" s="269" t="e">
        <f t="shared" si="105"/>
        <v>#DIV/0!</v>
      </c>
      <c r="T110" s="269" t="e">
        <f t="shared" si="91"/>
        <v>#DIV/0!</v>
      </c>
      <c r="U110" s="234">
        <f t="shared" si="106"/>
        <v>0</v>
      </c>
      <c r="V110" s="232" t="e">
        <f t="shared" si="107"/>
        <v>#DIV/0!</v>
      </c>
      <c r="W110" s="269" t="e">
        <f t="shared" si="108"/>
        <v>#DIV/0!</v>
      </c>
      <c r="X110" s="235">
        <f t="shared" si="86"/>
        <v>0</v>
      </c>
      <c r="Y110" s="236">
        <f t="shared" si="109"/>
        <v>5</v>
      </c>
      <c r="Z110" s="236" t="e">
        <f t="shared" si="110"/>
        <v>#DIV/0!</v>
      </c>
      <c r="AA110" s="236">
        <f t="shared" si="111"/>
        <v>3</v>
      </c>
      <c r="AB110" s="236" t="e">
        <f t="shared" si="112"/>
        <v>#DIV/0!</v>
      </c>
      <c r="AC110" s="235">
        <f t="shared" si="113"/>
        <v>0</v>
      </c>
      <c r="AD110" s="235">
        <f t="shared" si="114"/>
        <v>0</v>
      </c>
      <c r="AE110" s="279">
        <f t="shared" si="115"/>
        <v>0</v>
      </c>
      <c r="AF110" s="232">
        <f t="shared" si="116"/>
        <v>1</v>
      </c>
      <c r="AG110" s="235">
        <f t="shared" si="117"/>
        <v>0</v>
      </c>
      <c r="AH110" s="269">
        <f t="shared" si="118"/>
        <v>0</v>
      </c>
      <c r="AI110" s="232">
        <f t="shared" si="119"/>
        <v>1</v>
      </c>
      <c r="AJ110" s="235">
        <f t="shared" si="120"/>
        <v>0</v>
      </c>
      <c r="AK110" s="269">
        <f t="shared" si="121"/>
        <v>0</v>
      </c>
      <c r="AL110" s="269">
        <f t="shared" si="87"/>
        <v>0</v>
      </c>
      <c r="AM110" s="281" t="e">
        <f>IF(B110&gt;=mpfo,pos*vvm*Dados!$E$122*(ntudv-SUM(U111:$U$301))-SUM($AM$13:AM109),0)</f>
        <v>#DIV/0!</v>
      </c>
      <c r="AN110" s="269" t="e">
        <f t="shared" si="122"/>
        <v>#DIV/0!</v>
      </c>
      <c r="AO110" s="232" t="e">
        <f t="shared" si="123"/>
        <v>#DIV/0!</v>
      </c>
      <c r="AP110" s="242" t="e">
        <f t="shared" si="124"/>
        <v>#DIV/0!</v>
      </c>
      <c r="AQ110" s="235" t="e">
        <f>IF(AP110+SUM($AQ$12:AQ109)&gt;=0,0,-AP110-SUM($AQ$12:AQ109))</f>
        <v>#DIV/0!</v>
      </c>
      <c r="AR110" s="235">
        <f>IF(SUM($N$13:N109)&gt;=pmo,IF(SUM(N109:$N$501)&gt;(1-pmo),B110,0),0)</f>
        <v>0</v>
      </c>
      <c r="AS110" s="235" t="e">
        <f>IF((SUM($U$13:$U109)/ntudv)&gt;=pmv,IF((SUM($U109:$U$501)/ntudv)&gt;(1-pmv),B110,0),0)</f>
        <v>#DIV/0!</v>
      </c>
      <c r="AT110" s="237" t="e">
        <f>IF(MAX(mmo,mmv)=mmo,IF(B110=AR110,(SUM(N$13:$N109)-pmo)/((1-VLOOKUP(MAX(mmo,mmv)-1,$B$13:$O$501,14))+(VLOOKUP(MAX(mmo,mmv)-1,$B$13:$O$501,14)-pmo)),N109/((1-VLOOKUP(MAX(mmo,mmv)-1,$B$13:$O$501,14)+(VLOOKUP(MAX(mmo,mmv)-1,$B$13:$O$501,14)-pmo)))),N109/(1-VLOOKUP(MAX(mmo,mmv)-2,$B$13:$O$501,14)))</f>
        <v>#DIV/0!</v>
      </c>
      <c r="AU110" s="101" t="e">
        <f t="shared" si="88"/>
        <v>#DIV/0!</v>
      </c>
      <c r="AV110" s="287" t="e">
        <f t="shared" si="89"/>
        <v>#DIV/0!</v>
      </c>
      <c r="AW110" s="235" t="e">
        <f t="shared" si="125"/>
        <v>#DIV/0!</v>
      </c>
      <c r="AX110" s="281">
        <f>IF(B110&gt;mpfo,0,IF(B110=mpfo,(vld-teo*(1+tcfo-incc)^(MAX(mmo,mmv)-mbfo))*-1,IF(SUM($N$13:N109)&gt;=pmo,IF(($V109/ntudv)&gt;=pmv,IF(B110=MAX(mmo,mmv),-teo*(1+tcfo-incc)^(B110-mbfo),0),0),0)))</f>
        <v>0</v>
      </c>
      <c r="AY110" s="292" t="e">
        <f t="shared" si="90"/>
        <v>#DIV/0!</v>
      </c>
      <c r="AZ110" s="235" t="e">
        <f t="shared" si="126"/>
        <v>#DIV/0!</v>
      </c>
      <c r="BA110" s="269" t="e">
        <f t="shared" si="127"/>
        <v>#DIV/0!</v>
      </c>
      <c r="BB110" s="292" t="e">
        <f t="shared" si="128"/>
        <v>#DIV/0!</v>
      </c>
      <c r="BC110" s="238" t="e">
        <f>IF(SUM($BC$13:BC109)&gt;0,0,IF(BB110&gt;0,B110,0))</f>
        <v>#DIV/0!</v>
      </c>
      <c r="BD110" s="292" t="e">
        <f>IF(BB110+SUM($BD$12:BD109)&gt;=0,0,-BB110-SUM($BD$12:BD109))</f>
        <v>#DIV/0!</v>
      </c>
      <c r="BE110" s="235" t="e">
        <f>BB110+SUM($BD$12:BD110)</f>
        <v>#DIV/0!</v>
      </c>
      <c r="BF110" s="292" t="e">
        <f>-MIN(BE110:$BE$501)-SUM(BF$12:$BF109)</f>
        <v>#DIV/0!</v>
      </c>
      <c r="BG110" s="235" t="e">
        <f t="shared" si="93"/>
        <v>#DIV/0!</v>
      </c>
    </row>
    <row r="111" spans="2:59">
      <c r="B111" s="120">
        <v>98</v>
      </c>
      <c r="C111" s="241">
        <f t="shared" si="92"/>
        <v>45662</v>
      </c>
      <c r="D111" s="229">
        <f t="shared" si="94"/>
        <v>1</v>
      </c>
      <c r="E111" s="230" t="str">
        <f t="shared" si="95"/>
        <v>-</v>
      </c>
      <c r="F111" s="231">
        <f t="shared" si="96"/>
        <v>0</v>
      </c>
      <c r="G111" s="231">
        <f t="shared" si="97"/>
        <v>0</v>
      </c>
      <c r="H111" s="231">
        <f t="shared" si="98"/>
        <v>0</v>
      </c>
      <c r="I111" s="268">
        <f t="shared" si="83"/>
        <v>0</v>
      </c>
      <c r="J111" s="269">
        <f t="shared" si="99"/>
        <v>0</v>
      </c>
      <c r="K111" s="269">
        <f t="shared" si="100"/>
        <v>0</v>
      </c>
      <c r="L111" s="269">
        <f t="shared" si="84"/>
        <v>0</v>
      </c>
      <c r="M111" s="269">
        <f t="shared" si="85"/>
        <v>0</v>
      </c>
      <c r="N111" s="233">
        <f>VLOOKUP(B111,Dados!$L$86:$P$90,5)</f>
        <v>0</v>
      </c>
      <c r="O111" s="270">
        <f t="shared" si="101"/>
        <v>0.99999999999999989</v>
      </c>
      <c r="P111" s="269">
        <f t="shared" si="102"/>
        <v>0</v>
      </c>
      <c r="Q111" s="269" t="e">
        <f t="shared" si="103"/>
        <v>#DIV/0!</v>
      </c>
      <c r="R111" s="269">
        <f t="shared" si="104"/>
        <v>0</v>
      </c>
      <c r="S111" s="269" t="e">
        <f t="shared" si="105"/>
        <v>#DIV/0!</v>
      </c>
      <c r="T111" s="269" t="e">
        <f t="shared" si="91"/>
        <v>#DIV/0!</v>
      </c>
      <c r="U111" s="234">
        <f t="shared" si="106"/>
        <v>0</v>
      </c>
      <c r="V111" s="232" t="e">
        <f t="shared" si="107"/>
        <v>#DIV/0!</v>
      </c>
      <c r="W111" s="269" t="e">
        <f t="shared" si="108"/>
        <v>#DIV/0!</v>
      </c>
      <c r="X111" s="235">
        <f t="shared" si="86"/>
        <v>0</v>
      </c>
      <c r="Y111" s="236">
        <f t="shared" si="109"/>
        <v>5</v>
      </c>
      <c r="Z111" s="236" t="e">
        <f t="shared" si="110"/>
        <v>#DIV/0!</v>
      </c>
      <c r="AA111" s="236">
        <f t="shared" si="111"/>
        <v>3</v>
      </c>
      <c r="AB111" s="236" t="e">
        <f t="shared" si="112"/>
        <v>#DIV/0!</v>
      </c>
      <c r="AC111" s="235">
        <f t="shared" si="113"/>
        <v>0</v>
      </c>
      <c r="AD111" s="235">
        <f t="shared" si="114"/>
        <v>0</v>
      </c>
      <c r="AE111" s="279">
        <f t="shared" si="115"/>
        <v>0</v>
      </c>
      <c r="AF111" s="232">
        <f t="shared" si="116"/>
        <v>0</v>
      </c>
      <c r="AG111" s="235">
        <f t="shared" si="117"/>
        <v>0</v>
      </c>
      <c r="AH111" s="269">
        <f t="shared" si="118"/>
        <v>0</v>
      </c>
      <c r="AI111" s="232">
        <f t="shared" si="119"/>
        <v>0</v>
      </c>
      <c r="AJ111" s="235">
        <f t="shared" si="120"/>
        <v>0</v>
      </c>
      <c r="AK111" s="269">
        <f t="shared" si="121"/>
        <v>0</v>
      </c>
      <c r="AL111" s="269">
        <f t="shared" si="87"/>
        <v>0</v>
      </c>
      <c r="AM111" s="281" t="e">
        <f>IF(B111&gt;=mpfo,pos*vvm*Dados!$E$122*(ntudv-SUM(U112:$U$301))-SUM($AM$13:AM110),0)</f>
        <v>#DIV/0!</v>
      </c>
      <c r="AN111" s="269" t="e">
        <f t="shared" si="122"/>
        <v>#DIV/0!</v>
      </c>
      <c r="AO111" s="232" t="e">
        <f t="shared" si="123"/>
        <v>#DIV/0!</v>
      </c>
      <c r="AP111" s="242" t="e">
        <f t="shared" si="124"/>
        <v>#DIV/0!</v>
      </c>
      <c r="AQ111" s="235" t="e">
        <f>IF(AP111+SUM($AQ$12:AQ110)&gt;=0,0,-AP111-SUM($AQ$12:AQ110))</f>
        <v>#DIV/0!</v>
      </c>
      <c r="AR111" s="235">
        <f>IF(SUM($N$13:N110)&gt;=pmo,IF(SUM(N110:$N$501)&gt;(1-pmo),B111,0),0)</f>
        <v>0</v>
      </c>
      <c r="AS111" s="235" t="e">
        <f>IF((SUM($U$13:$U110)/ntudv)&gt;=pmv,IF((SUM($U110:$U$501)/ntudv)&gt;(1-pmv),B111,0),0)</f>
        <v>#DIV/0!</v>
      </c>
      <c r="AT111" s="237" t="e">
        <f>IF(MAX(mmo,mmv)=mmo,IF(B111=AR111,(SUM(N$13:$N110)-pmo)/((1-VLOOKUP(MAX(mmo,mmv)-1,$B$13:$O$501,14))+(VLOOKUP(MAX(mmo,mmv)-1,$B$13:$O$501,14)-pmo)),N110/((1-VLOOKUP(MAX(mmo,mmv)-1,$B$13:$O$501,14)+(VLOOKUP(MAX(mmo,mmv)-1,$B$13:$O$501,14)-pmo)))),N110/(1-VLOOKUP(MAX(mmo,mmv)-2,$B$13:$O$501,14)))</f>
        <v>#DIV/0!</v>
      </c>
      <c r="AU111" s="101" t="e">
        <f t="shared" si="88"/>
        <v>#DIV/0!</v>
      </c>
      <c r="AV111" s="287" t="e">
        <f t="shared" si="89"/>
        <v>#DIV/0!</v>
      </c>
      <c r="AW111" s="235" t="e">
        <f t="shared" si="125"/>
        <v>#DIV/0!</v>
      </c>
      <c r="AX111" s="281">
        <f>IF(B111&gt;mpfo,0,IF(B111=mpfo,(vld-teo*(1+tcfo-incc)^(MAX(mmo,mmv)-mbfo))*-1,IF(SUM($N$13:N110)&gt;=pmo,IF(($V110/ntudv)&gt;=pmv,IF(B111=MAX(mmo,mmv),-teo*(1+tcfo-incc)^(B111-mbfo),0),0),0)))</f>
        <v>0</v>
      </c>
      <c r="AY111" s="292" t="e">
        <f t="shared" si="90"/>
        <v>#DIV/0!</v>
      </c>
      <c r="AZ111" s="235" t="e">
        <f t="shared" si="126"/>
        <v>#DIV/0!</v>
      </c>
      <c r="BA111" s="269" t="e">
        <f t="shared" si="127"/>
        <v>#DIV/0!</v>
      </c>
      <c r="BB111" s="292" t="e">
        <f t="shared" si="128"/>
        <v>#DIV/0!</v>
      </c>
      <c r="BC111" s="238" t="e">
        <f>IF(SUM($BC$13:BC110)&gt;0,0,IF(BB111&gt;0,B111,0))</f>
        <v>#DIV/0!</v>
      </c>
      <c r="BD111" s="292" t="e">
        <f>IF(BB111+SUM($BD$12:BD110)&gt;=0,0,-BB111-SUM($BD$12:BD110))</f>
        <v>#DIV/0!</v>
      </c>
      <c r="BE111" s="235" t="e">
        <f>BB111+SUM($BD$12:BD111)</f>
        <v>#DIV/0!</v>
      </c>
      <c r="BF111" s="292" t="e">
        <f>-MIN(BE111:$BE$501)-SUM(BF$12:$BF110)</f>
        <v>#DIV/0!</v>
      </c>
      <c r="BG111" s="235" t="e">
        <f t="shared" si="93"/>
        <v>#DIV/0!</v>
      </c>
    </row>
    <row r="112" spans="2:59">
      <c r="B112" s="246">
        <v>99</v>
      </c>
      <c r="C112" s="241">
        <f t="shared" si="92"/>
        <v>45693</v>
      </c>
      <c r="D112" s="229">
        <f t="shared" si="94"/>
        <v>2</v>
      </c>
      <c r="E112" s="230" t="str">
        <f t="shared" si="95"/>
        <v>-</v>
      </c>
      <c r="F112" s="231">
        <f t="shared" si="96"/>
        <v>0</v>
      </c>
      <c r="G112" s="231">
        <f t="shared" si="97"/>
        <v>0</v>
      </c>
      <c r="H112" s="231">
        <f t="shared" si="98"/>
        <v>0</v>
      </c>
      <c r="I112" s="268">
        <f t="shared" si="83"/>
        <v>0</v>
      </c>
      <c r="J112" s="269">
        <f t="shared" si="99"/>
        <v>0</v>
      </c>
      <c r="K112" s="269">
        <f t="shared" si="100"/>
        <v>0</v>
      </c>
      <c r="L112" s="269">
        <f t="shared" si="84"/>
        <v>0</v>
      </c>
      <c r="M112" s="269">
        <f t="shared" si="85"/>
        <v>0</v>
      </c>
      <c r="N112" s="233">
        <f>VLOOKUP(B112,Dados!$L$86:$P$90,5)</f>
        <v>0</v>
      </c>
      <c r="O112" s="270">
        <f t="shared" si="101"/>
        <v>0.99999999999999989</v>
      </c>
      <c r="P112" s="269">
        <f t="shared" si="102"/>
        <v>0</v>
      </c>
      <c r="Q112" s="269" t="e">
        <f t="shared" si="103"/>
        <v>#DIV/0!</v>
      </c>
      <c r="R112" s="269">
        <f t="shared" si="104"/>
        <v>0</v>
      </c>
      <c r="S112" s="269" t="e">
        <f t="shared" si="105"/>
        <v>#DIV/0!</v>
      </c>
      <c r="T112" s="269" t="e">
        <f t="shared" si="91"/>
        <v>#DIV/0!</v>
      </c>
      <c r="U112" s="234">
        <f t="shared" si="106"/>
        <v>0</v>
      </c>
      <c r="V112" s="232" t="e">
        <f t="shared" si="107"/>
        <v>#DIV/0!</v>
      </c>
      <c r="W112" s="269" t="e">
        <f t="shared" si="108"/>
        <v>#DIV/0!</v>
      </c>
      <c r="X112" s="235">
        <f t="shared" si="86"/>
        <v>0</v>
      </c>
      <c r="Y112" s="236">
        <f t="shared" si="109"/>
        <v>5</v>
      </c>
      <c r="Z112" s="236" t="e">
        <f t="shared" si="110"/>
        <v>#DIV/0!</v>
      </c>
      <c r="AA112" s="236">
        <f t="shared" si="111"/>
        <v>3</v>
      </c>
      <c r="AB112" s="236" t="e">
        <f t="shared" si="112"/>
        <v>#DIV/0!</v>
      </c>
      <c r="AC112" s="235">
        <f t="shared" si="113"/>
        <v>0</v>
      </c>
      <c r="AD112" s="235">
        <f t="shared" si="114"/>
        <v>0</v>
      </c>
      <c r="AE112" s="279">
        <f t="shared" si="115"/>
        <v>0</v>
      </c>
      <c r="AF112" s="232">
        <f t="shared" si="116"/>
        <v>0</v>
      </c>
      <c r="AG112" s="235">
        <f t="shared" si="117"/>
        <v>0</v>
      </c>
      <c r="AH112" s="269">
        <f t="shared" si="118"/>
        <v>0</v>
      </c>
      <c r="AI112" s="232">
        <f t="shared" si="119"/>
        <v>0</v>
      </c>
      <c r="AJ112" s="235">
        <f t="shared" si="120"/>
        <v>0</v>
      </c>
      <c r="AK112" s="269">
        <f t="shared" si="121"/>
        <v>0</v>
      </c>
      <c r="AL112" s="269">
        <f t="shared" si="87"/>
        <v>0</v>
      </c>
      <c r="AM112" s="281" t="e">
        <f>IF(B112&gt;=mpfo,pos*vvm*Dados!$E$122*(ntudv-SUM(U113:$U$301))-SUM($AM$13:AM111),0)</f>
        <v>#DIV/0!</v>
      </c>
      <c r="AN112" s="269" t="e">
        <f t="shared" si="122"/>
        <v>#DIV/0!</v>
      </c>
      <c r="AO112" s="232" t="e">
        <f t="shared" si="123"/>
        <v>#DIV/0!</v>
      </c>
      <c r="AP112" s="242" t="e">
        <f t="shared" si="124"/>
        <v>#DIV/0!</v>
      </c>
      <c r="AQ112" s="235" t="e">
        <f>IF(AP112+SUM($AQ$12:AQ111)&gt;=0,0,-AP112-SUM($AQ$12:AQ111))</f>
        <v>#DIV/0!</v>
      </c>
      <c r="AR112" s="235">
        <f>IF(SUM($N$13:N111)&gt;=pmo,IF(SUM(N111:$N$501)&gt;(1-pmo),B112,0),0)</f>
        <v>0</v>
      </c>
      <c r="AS112" s="235" t="e">
        <f>IF((SUM($U$13:$U111)/ntudv)&gt;=pmv,IF((SUM($U111:$U$501)/ntudv)&gt;(1-pmv),B112,0),0)</f>
        <v>#DIV/0!</v>
      </c>
      <c r="AT112" s="237" t="e">
        <f>IF(MAX(mmo,mmv)=mmo,IF(B112=AR112,(SUM(N$13:$N111)-pmo)/((1-VLOOKUP(MAX(mmo,mmv)-1,$B$13:$O$501,14))+(VLOOKUP(MAX(mmo,mmv)-1,$B$13:$O$501,14)-pmo)),N111/((1-VLOOKUP(MAX(mmo,mmv)-1,$B$13:$O$501,14)+(VLOOKUP(MAX(mmo,mmv)-1,$B$13:$O$501,14)-pmo)))),N111/(1-VLOOKUP(MAX(mmo,mmv)-2,$B$13:$O$501,14)))</f>
        <v>#DIV/0!</v>
      </c>
      <c r="AU112" s="101" t="e">
        <f t="shared" si="88"/>
        <v>#DIV/0!</v>
      </c>
      <c r="AV112" s="287" t="e">
        <f t="shared" si="89"/>
        <v>#DIV/0!</v>
      </c>
      <c r="AW112" s="235" t="e">
        <f t="shared" si="125"/>
        <v>#DIV/0!</v>
      </c>
      <c r="AX112" s="281">
        <f>IF(B112&gt;mpfo,0,IF(B112=mpfo,(vld-teo*(1+tcfo-incc)^(MAX(mmo,mmv)-mbfo))*-1,IF(SUM($N$13:N111)&gt;=pmo,IF(($V111/ntudv)&gt;=pmv,IF(B112=MAX(mmo,mmv),-teo*(1+tcfo-incc)^(B112-mbfo),0),0),0)))</f>
        <v>0</v>
      </c>
      <c r="AY112" s="292" t="e">
        <f t="shared" si="90"/>
        <v>#DIV/0!</v>
      </c>
      <c r="AZ112" s="235" t="e">
        <f t="shared" si="126"/>
        <v>#DIV/0!</v>
      </c>
      <c r="BA112" s="269" t="e">
        <f t="shared" si="127"/>
        <v>#DIV/0!</v>
      </c>
      <c r="BB112" s="292" t="e">
        <f t="shared" si="128"/>
        <v>#DIV/0!</v>
      </c>
      <c r="BC112" s="238" t="e">
        <f>IF(SUM($BC$13:BC111)&gt;0,0,IF(BB112&gt;0,B112,0))</f>
        <v>#DIV/0!</v>
      </c>
      <c r="BD112" s="292" t="e">
        <f>IF(BB112+SUM($BD$12:BD111)&gt;=0,0,-BB112-SUM($BD$12:BD111))</f>
        <v>#DIV/0!</v>
      </c>
      <c r="BE112" s="235" t="e">
        <f>BB112+SUM($BD$12:BD112)</f>
        <v>#DIV/0!</v>
      </c>
      <c r="BF112" s="292" t="e">
        <f>-MIN(BE112:$BE$501)-SUM(BF$12:$BF111)</f>
        <v>#DIV/0!</v>
      </c>
      <c r="BG112" s="235" t="e">
        <f t="shared" si="93"/>
        <v>#DIV/0!</v>
      </c>
    </row>
    <row r="113" spans="2:59">
      <c r="B113" s="120">
        <v>100</v>
      </c>
      <c r="C113" s="241">
        <f t="shared" si="92"/>
        <v>45721</v>
      </c>
      <c r="D113" s="229">
        <f t="shared" si="94"/>
        <v>3</v>
      </c>
      <c r="E113" s="230" t="str">
        <f t="shared" si="95"/>
        <v>-</v>
      </c>
      <c r="F113" s="231">
        <f t="shared" si="96"/>
        <v>0</v>
      </c>
      <c r="G113" s="231">
        <f t="shared" si="97"/>
        <v>0</v>
      </c>
      <c r="H113" s="231">
        <f t="shared" si="98"/>
        <v>0</v>
      </c>
      <c r="I113" s="268">
        <f t="shared" si="83"/>
        <v>0</v>
      </c>
      <c r="J113" s="269">
        <f t="shared" si="99"/>
        <v>0</v>
      </c>
      <c r="K113" s="269">
        <f t="shared" si="100"/>
        <v>0</v>
      </c>
      <c r="L113" s="269">
        <f t="shared" si="84"/>
        <v>0</v>
      </c>
      <c r="M113" s="269">
        <f t="shared" si="85"/>
        <v>0</v>
      </c>
      <c r="N113" s="233">
        <f>VLOOKUP(B113,Dados!$L$86:$P$90,5)</f>
        <v>0</v>
      </c>
      <c r="O113" s="270">
        <f t="shared" si="101"/>
        <v>0.99999999999999989</v>
      </c>
      <c r="P113" s="269">
        <f t="shared" si="102"/>
        <v>0</v>
      </c>
      <c r="Q113" s="269" t="e">
        <f t="shared" si="103"/>
        <v>#DIV/0!</v>
      </c>
      <c r="R113" s="269">
        <f t="shared" si="104"/>
        <v>0</v>
      </c>
      <c r="S113" s="269" t="e">
        <f t="shared" si="105"/>
        <v>#DIV/0!</v>
      </c>
      <c r="T113" s="269" t="e">
        <f t="shared" si="91"/>
        <v>#DIV/0!</v>
      </c>
      <c r="U113" s="234">
        <f t="shared" si="106"/>
        <v>0</v>
      </c>
      <c r="V113" s="232" t="e">
        <f t="shared" si="107"/>
        <v>#DIV/0!</v>
      </c>
      <c r="W113" s="269" t="e">
        <f t="shared" si="108"/>
        <v>#DIV/0!</v>
      </c>
      <c r="X113" s="235">
        <f t="shared" si="86"/>
        <v>0</v>
      </c>
      <c r="Y113" s="236">
        <f t="shared" si="109"/>
        <v>5</v>
      </c>
      <c r="Z113" s="236" t="e">
        <f t="shared" si="110"/>
        <v>#DIV/0!</v>
      </c>
      <c r="AA113" s="236">
        <f t="shared" si="111"/>
        <v>3</v>
      </c>
      <c r="AB113" s="236" t="e">
        <f t="shared" si="112"/>
        <v>#DIV/0!</v>
      </c>
      <c r="AC113" s="235">
        <f t="shared" si="113"/>
        <v>0</v>
      </c>
      <c r="AD113" s="235">
        <f t="shared" si="114"/>
        <v>0</v>
      </c>
      <c r="AE113" s="279">
        <f t="shared" si="115"/>
        <v>0</v>
      </c>
      <c r="AF113" s="232">
        <f t="shared" si="116"/>
        <v>0</v>
      </c>
      <c r="AG113" s="235">
        <f t="shared" si="117"/>
        <v>0</v>
      </c>
      <c r="AH113" s="269">
        <f t="shared" si="118"/>
        <v>0</v>
      </c>
      <c r="AI113" s="232">
        <f t="shared" si="119"/>
        <v>0</v>
      </c>
      <c r="AJ113" s="235">
        <f t="shared" si="120"/>
        <v>0</v>
      </c>
      <c r="AK113" s="269">
        <f t="shared" si="121"/>
        <v>0</v>
      </c>
      <c r="AL113" s="269">
        <f t="shared" si="87"/>
        <v>0</v>
      </c>
      <c r="AM113" s="281" t="e">
        <f>IF(B113&gt;=mpfo,pos*vvm*Dados!$E$122*(ntudv-SUM(U114:$U$301))-SUM($AM$13:AM112),0)</f>
        <v>#DIV/0!</v>
      </c>
      <c r="AN113" s="269" t="e">
        <f t="shared" si="122"/>
        <v>#DIV/0!</v>
      </c>
      <c r="AO113" s="232" t="e">
        <f t="shared" si="123"/>
        <v>#DIV/0!</v>
      </c>
      <c r="AP113" s="242" t="e">
        <f t="shared" si="124"/>
        <v>#DIV/0!</v>
      </c>
      <c r="AQ113" s="235" t="e">
        <f>IF(AP113+SUM($AQ$12:AQ112)&gt;=0,0,-AP113-SUM($AQ$12:AQ112))</f>
        <v>#DIV/0!</v>
      </c>
      <c r="AR113" s="235">
        <f>IF(SUM($N$13:N112)&gt;=pmo,IF(SUM(N112:$N$501)&gt;(1-pmo),B113,0),0)</f>
        <v>0</v>
      </c>
      <c r="AS113" s="235" t="e">
        <f>IF((SUM($U$13:$U112)/ntudv)&gt;=pmv,IF((SUM($U112:$U$501)/ntudv)&gt;(1-pmv),B113,0),0)</f>
        <v>#DIV/0!</v>
      </c>
      <c r="AT113" s="237" t="e">
        <f>IF(MAX(mmo,mmv)=mmo,IF(B113=AR113,(SUM(N$13:$N112)-pmo)/((1-VLOOKUP(MAX(mmo,mmv)-1,$B$13:$O$501,14))+(VLOOKUP(MAX(mmo,mmv)-1,$B$13:$O$501,14)-pmo)),N112/((1-VLOOKUP(MAX(mmo,mmv)-1,$B$13:$O$501,14)+(VLOOKUP(MAX(mmo,mmv)-1,$B$13:$O$501,14)-pmo)))),N112/(1-VLOOKUP(MAX(mmo,mmv)-2,$B$13:$O$501,14)))</f>
        <v>#DIV/0!</v>
      </c>
      <c r="AU113" s="101" t="e">
        <f t="shared" si="88"/>
        <v>#DIV/0!</v>
      </c>
      <c r="AV113" s="287" t="e">
        <f t="shared" si="89"/>
        <v>#DIV/0!</v>
      </c>
      <c r="AW113" s="235" t="e">
        <f t="shared" si="125"/>
        <v>#DIV/0!</v>
      </c>
      <c r="AX113" s="281">
        <f>IF(B113&gt;mpfo,0,IF(B113=mpfo,(vld-teo*(1+tcfo-incc)^(MAX(mmo,mmv)-mbfo))*-1,IF(SUM($N$13:N112)&gt;=pmo,IF(($V112/ntudv)&gt;=pmv,IF(B113=MAX(mmo,mmv),-teo*(1+tcfo-incc)^(B113-mbfo),0),0),0)))</f>
        <v>0</v>
      </c>
      <c r="AY113" s="292" t="e">
        <f t="shared" si="90"/>
        <v>#DIV/0!</v>
      </c>
      <c r="AZ113" s="235" t="e">
        <f t="shared" si="126"/>
        <v>#DIV/0!</v>
      </c>
      <c r="BA113" s="269" t="e">
        <f t="shared" si="127"/>
        <v>#DIV/0!</v>
      </c>
      <c r="BB113" s="292" t="e">
        <f t="shared" si="128"/>
        <v>#DIV/0!</v>
      </c>
      <c r="BC113" s="238" t="e">
        <f>IF(SUM($BC$13:BC112)&gt;0,0,IF(BB113&gt;0,B113,0))</f>
        <v>#DIV/0!</v>
      </c>
      <c r="BD113" s="292" t="e">
        <f>IF(BB113+SUM($BD$12:BD112)&gt;=0,0,-BB113-SUM($BD$12:BD112))</f>
        <v>#DIV/0!</v>
      </c>
      <c r="BE113" s="235" t="e">
        <f>BB113+SUM($BD$12:BD113)</f>
        <v>#DIV/0!</v>
      </c>
      <c r="BF113" s="292" t="e">
        <f>-MIN(BE113:$BE$501)-SUM(BF$12:$BF112)</f>
        <v>#DIV/0!</v>
      </c>
      <c r="BG113" s="235" t="e">
        <f t="shared" si="93"/>
        <v>#DIV/0!</v>
      </c>
    </row>
    <row r="114" spans="2:59">
      <c r="B114" s="246">
        <v>101</v>
      </c>
      <c r="C114" s="241">
        <f t="shared" si="92"/>
        <v>45752</v>
      </c>
      <c r="D114" s="229">
        <f t="shared" si="94"/>
        <v>4</v>
      </c>
      <c r="E114" s="230" t="str">
        <f t="shared" si="95"/>
        <v>-</v>
      </c>
      <c r="F114" s="231">
        <f t="shared" si="96"/>
        <v>0</v>
      </c>
      <c r="G114" s="231">
        <f t="shared" si="97"/>
        <v>0</v>
      </c>
      <c r="H114" s="231">
        <f t="shared" si="98"/>
        <v>0</v>
      </c>
      <c r="I114" s="268">
        <f t="shared" si="83"/>
        <v>0</v>
      </c>
      <c r="J114" s="269">
        <f t="shared" si="99"/>
        <v>0</v>
      </c>
      <c r="K114" s="269">
        <f t="shared" si="100"/>
        <v>0</v>
      </c>
      <c r="L114" s="269">
        <f t="shared" si="84"/>
        <v>0</v>
      </c>
      <c r="M114" s="269">
        <f t="shared" si="85"/>
        <v>0</v>
      </c>
      <c r="N114" s="233">
        <f>VLOOKUP(B114,Dados!$L$86:$P$90,5)</f>
        <v>0</v>
      </c>
      <c r="O114" s="270">
        <f t="shared" si="101"/>
        <v>0.99999999999999989</v>
      </c>
      <c r="P114" s="269">
        <f t="shared" si="102"/>
        <v>0</v>
      </c>
      <c r="Q114" s="269" t="e">
        <f t="shared" si="103"/>
        <v>#DIV/0!</v>
      </c>
      <c r="R114" s="269">
        <f t="shared" si="104"/>
        <v>0</v>
      </c>
      <c r="S114" s="269" t="e">
        <f t="shared" si="105"/>
        <v>#DIV/0!</v>
      </c>
      <c r="T114" s="269" t="e">
        <f t="shared" si="91"/>
        <v>#DIV/0!</v>
      </c>
      <c r="U114" s="234">
        <f t="shared" si="106"/>
        <v>0</v>
      </c>
      <c r="V114" s="232" t="e">
        <f t="shared" si="107"/>
        <v>#DIV/0!</v>
      </c>
      <c r="W114" s="269" t="e">
        <f t="shared" si="108"/>
        <v>#DIV/0!</v>
      </c>
      <c r="X114" s="235">
        <f t="shared" si="86"/>
        <v>0</v>
      </c>
      <c r="Y114" s="236">
        <f t="shared" si="109"/>
        <v>5</v>
      </c>
      <c r="Z114" s="236" t="e">
        <f t="shared" si="110"/>
        <v>#DIV/0!</v>
      </c>
      <c r="AA114" s="236">
        <f t="shared" si="111"/>
        <v>3</v>
      </c>
      <c r="AB114" s="236" t="e">
        <f t="shared" si="112"/>
        <v>#DIV/0!</v>
      </c>
      <c r="AC114" s="235">
        <f t="shared" si="113"/>
        <v>0</v>
      </c>
      <c r="AD114" s="235">
        <f t="shared" si="114"/>
        <v>0</v>
      </c>
      <c r="AE114" s="279">
        <f t="shared" si="115"/>
        <v>0</v>
      </c>
      <c r="AF114" s="232">
        <f t="shared" si="116"/>
        <v>0</v>
      </c>
      <c r="AG114" s="235">
        <f t="shared" si="117"/>
        <v>0</v>
      </c>
      <c r="AH114" s="269">
        <f t="shared" si="118"/>
        <v>0</v>
      </c>
      <c r="AI114" s="232">
        <f t="shared" si="119"/>
        <v>0</v>
      </c>
      <c r="AJ114" s="235">
        <f t="shared" si="120"/>
        <v>0</v>
      </c>
      <c r="AK114" s="269">
        <f t="shared" si="121"/>
        <v>0</v>
      </c>
      <c r="AL114" s="269">
        <f t="shared" si="87"/>
        <v>0</v>
      </c>
      <c r="AM114" s="281" t="e">
        <f>IF(B114&gt;=mpfo,pos*vvm*Dados!$E$122*(ntudv-SUM(U115:$U$301))-SUM($AM$13:AM113),0)</f>
        <v>#DIV/0!</v>
      </c>
      <c r="AN114" s="269" t="e">
        <f t="shared" si="122"/>
        <v>#DIV/0!</v>
      </c>
      <c r="AO114" s="232" t="e">
        <f t="shared" si="123"/>
        <v>#DIV/0!</v>
      </c>
      <c r="AP114" s="242" t="e">
        <f t="shared" si="124"/>
        <v>#DIV/0!</v>
      </c>
      <c r="AQ114" s="235" t="e">
        <f>IF(AP114+SUM($AQ$12:AQ113)&gt;=0,0,-AP114-SUM($AQ$12:AQ113))</f>
        <v>#DIV/0!</v>
      </c>
      <c r="AR114" s="235">
        <f>IF(SUM($N$13:N113)&gt;=pmo,IF(SUM(N113:$N$501)&gt;(1-pmo),B114,0),0)</f>
        <v>0</v>
      </c>
      <c r="AS114" s="235" t="e">
        <f>IF((SUM($U$13:$U113)/ntudv)&gt;=pmv,IF((SUM($U113:$U$501)/ntudv)&gt;(1-pmv),B114,0),0)</f>
        <v>#DIV/0!</v>
      </c>
      <c r="AT114" s="237" t="e">
        <f>IF(MAX(mmo,mmv)=mmo,IF(B114=AR114,(SUM(N$13:$N113)-pmo)/((1-VLOOKUP(MAX(mmo,mmv)-1,$B$13:$O$501,14))+(VLOOKUP(MAX(mmo,mmv)-1,$B$13:$O$501,14)-pmo)),N113/((1-VLOOKUP(MAX(mmo,mmv)-1,$B$13:$O$501,14)+(VLOOKUP(MAX(mmo,mmv)-1,$B$13:$O$501,14)-pmo)))),N113/(1-VLOOKUP(MAX(mmo,mmv)-2,$B$13:$O$501,14)))</f>
        <v>#DIV/0!</v>
      </c>
      <c r="AU114" s="101" t="e">
        <f t="shared" si="88"/>
        <v>#DIV/0!</v>
      </c>
      <c r="AV114" s="287" t="e">
        <f t="shared" si="89"/>
        <v>#DIV/0!</v>
      </c>
      <c r="AW114" s="235" t="e">
        <f t="shared" si="125"/>
        <v>#DIV/0!</v>
      </c>
      <c r="AX114" s="281">
        <f>IF(B114&gt;mpfo,0,IF(B114=mpfo,(vld-teo*(1+tcfo-incc)^(MAX(mmo,mmv)-mbfo))*-1,IF(SUM($N$13:N113)&gt;=pmo,IF(($V113/ntudv)&gt;=pmv,IF(B114=MAX(mmo,mmv),-teo*(1+tcfo-incc)^(B114-mbfo),0),0),0)))</f>
        <v>0</v>
      </c>
      <c r="AY114" s="292" t="e">
        <f t="shared" si="90"/>
        <v>#DIV/0!</v>
      </c>
      <c r="AZ114" s="235" t="e">
        <f t="shared" si="126"/>
        <v>#DIV/0!</v>
      </c>
      <c r="BA114" s="269" t="e">
        <f t="shared" si="127"/>
        <v>#DIV/0!</v>
      </c>
      <c r="BB114" s="292" t="e">
        <f t="shared" si="128"/>
        <v>#DIV/0!</v>
      </c>
      <c r="BC114" s="238" t="e">
        <f>IF(SUM($BC$13:BC113)&gt;0,0,IF(BB114&gt;0,B114,0))</f>
        <v>#DIV/0!</v>
      </c>
      <c r="BD114" s="292" t="e">
        <f>IF(BB114+SUM($BD$12:BD113)&gt;=0,0,-BB114-SUM($BD$12:BD113))</f>
        <v>#DIV/0!</v>
      </c>
      <c r="BE114" s="235" t="e">
        <f>BB114+SUM($BD$12:BD114)</f>
        <v>#DIV/0!</v>
      </c>
      <c r="BF114" s="292" t="e">
        <f>-MIN(BE114:$BE$501)-SUM(BF$12:$BF113)</f>
        <v>#DIV/0!</v>
      </c>
      <c r="BG114" s="235" t="e">
        <f t="shared" si="93"/>
        <v>#DIV/0!</v>
      </c>
    </row>
    <row r="115" spans="2:59">
      <c r="B115" s="120">
        <v>102</v>
      </c>
      <c r="C115" s="241">
        <f t="shared" si="92"/>
        <v>45782</v>
      </c>
      <c r="D115" s="229">
        <f t="shared" si="94"/>
        <v>5</v>
      </c>
      <c r="E115" s="230" t="str">
        <f t="shared" si="95"/>
        <v>-</v>
      </c>
      <c r="F115" s="231">
        <f t="shared" si="96"/>
        <v>0</v>
      </c>
      <c r="G115" s="231">
        <f t="shared" si="97"/>
        <v>0</v>
      </c>
      <c r="H115" s="231">
        <f t="shared" si="98"/>
        <v>0</v>
      </c>
      <c r="I115" s="268">
        <f t="shared" si="83"/>
        <v>0</v>
      </c>
      <c r="J115" s="269">
        <f t="shared" si="99"/>
        <v>0</v>
      </c>
      <c r="K115" s="269">
        <f t="shared" si="100"/>
        <v>0</v>
      </c>
      <c r="L115" s="269">
        <f t="shared" si="84"/>
        <v>0</v>
      </c>
      <c r="M115" s="269">
        <f t="shared" si="85"/>
        <v>0</v>
      </c>
      <c r="N115" s="233">
        <f>VLOOKUP(B115,Dados!$L$86:$P$90,5)</f>
        <v>0</v>
      </c>
      <c r="O115" s="270">
        <f t="shared" si="101"/>
        <v>0.99999999999999989</v>
      </c>
      <c r="P115" s="269">
        <f t="shared" si="102"/>
        <v>0</v>
      </c>
      <c r="Q115" s="269" t="e">
        <f t="shared" si="103"/>
        <v>#DIV/0!</v>
      </c>
      <c r="R115" s="269">
        <f t="shared" si="104"/>
        <v>0</v>
      </c>
      <c r="S115" s="269" t="e">
        <f t="shared" si="105"/>
        <v>#DIV/0!</v>
      </c>
      <c r="T115" s="269" t="e">
        <f t="shared" si="91"/>
        <v>#DIV/0!</v>
      </c>
      <c r="U115" s="234">
        <f t="shared" si="106"/>
        <v>0</v>
      </c>
      <c r="V115" s="232" t="e">
        <f t="shared" si="107"/>
        <v>#DIV/0!</v>
      </c>
      <c r="W115" s="269" t="e">
        <f t="shared" si="108"/>
        <v>#DIV/0!</v>
      </c>
      <c r="X115" s="235">
        <f t="shared" si="86"/>
        <v>0</v>
      </c>
      <c r="Y115" s="236">
        <f t="shared" si="109"/>
        <v>5</v>
      </c>
      <c r="Z115" s="236" t="e">
        <f t="shared" si="110"/>
        <v>#DIV/0!</v>
      </c>
      <c r="AA115" s="236">
        <f t="shared" si="111"/>
        <v>3</v>
      </c>
      <c r="AB115" s="236" t="e">
        <f t="shared" si="112"/>
        <v>#DIV/0!</v>
      </c>
      <c r="AC115" s="235">
        <f t="shared" si="113"/>
        <v>0</v>
      </c>
      <c r="AD115" s="235">
        <f t="shared" si="114"/>
        <v>0</v>
      </c>
      <c r="AE115" s="279">
        <f t="shared" si="115"/>
        <v>0</v>
      </c>
      <c r="AF115" s="232">
        <f t="shared" si="116"/>
        <v>0</v>
      </c>
      <c r="AG115" s="235">
        <f t="shared" si="117"/>
        <v>0</v>
      </c>
      <c r="AH115" s="269">
        <f t="shared" si="118"/>
        <v>0</v>
      </c>
      <c r="AI115" s="232">
        <f t="shared" si="119"/>
        <v>0</v>
      </c>
      <c r="AJ115" s="235">
        <f t="shared" si="120"/>
        <v>0</v>
      </c>
      <c r="AK115" s="269">
        <f t="shared" si="121"/>
        <v>0</v>
      </c>
      <c r="AL115" s="269">
        <f t="shared" si="87"/>
        <v>0</v>
      </c>
      <c r="AM115" s="281" t="e">
        <f>IF(B115&gt;=mpfo,pos*vvm*Dados!$E$122*(ntudv-SUM(U116:$U$301))-SUM($AM$13:AM114),0)</f>
        <v>#DIV/0!</v>
      </c>
      <c r="AN115" s="269" t="e">
        <f t="shared" si="122"/>
        <v>#DIV/0!</v>
      </c>
      <c r="AO115" s="232" t="e">
        <f t="shared" si="123"/>
        <v>#DIV/0!</v>
      </c>
      <c r="AP115" s="242" t="e">
        <f t="shared" si="124"/>
        <v>#DIV/0!</v>
      </c>
      <c r="AQ115" s="235" t="e">
        <f>IF(AP115+SUM($AQ$12:AQ114)&gt;=0,0,-AP115-SUM($AQ$12:AQ114))</f>
        <v>#DIV/0!</v>
      </c>
      <c r="AR115" s="235">
        <f>IF(SUM($N$13:N114)&gt;=pmo,IF(SUM(N114:$N$501)&gt;(1-pmo),B115,0),0)</f>
        <v>0</v>
      </c>
      <c r="AS115" s="235" t="e">
        <f>IF((SUM($U$13:$U114)/ntudv)&gt;=pmv,IF((SUM($U114:$U$501)/ntudv)&gt;(1-pmv),B115,0),0)</f>
        <v>#DIV/0!</v>
      </c>
      <c r="AT115" s="237" t="e">
        <f>IF(MAX(mmo,mmv)=mmo,IF(B115=AR115,(SUM(N$13:$N114)-pmo)/((1-VLOOKUP(MAX(mmo,mmv)-1,$B$13:$O$501,14))+(VLOOKUP(MAX(mmo,mmv)-1,$B$13:$O$501,14)-pmo)),N114/((1-VLOOKUP(MAX(mmo,mmv)-1,$B$13:$O$501,14)+(VLOOKUP(MAX(mmo,mmv)-1,$B$13:$O$501,14)-pmo)))),N114/(1-VLOOKUP(MAX(mmo,mmv)-2,$B$13:$O$501,14)))</f>
        <v>#DIV/0!</v>
      </c>
      <c r="AU115" s="101" t="e">
        <f t="shared" si="88"/>
        <v>#DIV/0!</v>
      </c>
      <c r="AV115" s="287" t="e">
        <f t="shared" si="89"/>
        <v>#DIV/0!</v>
      </c>
      <c r="AW115" s="235" t="e">
        <f t="shared" si="125"/>
        <v>#DIV/0!</v>
      </c>
      <c r="AX115" s="281">
        <f>IF(B115&gt;mpfo,0,IF(B115=mpfo,(vld-teo*(1+tcfo-incc)^(MAX(mmo,mmv)-mbfo))*-1,IF(SUM($N$13:N114)&gt;=pmo,IF(($V114/ntudv)&gt;=pmv,IF(B115=MAX(mmo,mmv),-teo*(1+tcfo-incc)^(B115-mbfo),0),0),0)))</f>
        <v>0</v>
      </c>
      <c r="AY115" s="292" t="e">
        <f t="shared" si="90"/>
        <v>#DIV/0!</v>
      </c>
      <c r="AZ115" s="235" t="e">
        <f t="shared" si="126"/>
        <v>#DIV/0!</v>
      </c>
      <c r="BA115" s="269" t="e">
        <f t="shared" si="127"/>
        <v>#DIV/0!</v>
      </c>
      <c r="BB115" s="292" t="e">
        <f t="shared" si="128"/>
        <v>#DIV/0!</v>
      </c>
      <c r="BC115" s="238" t="e">
        <f>IF(SUM($BC$13:BC114)&gt;0,0,IF(BB115&gt;0,B115,0))</f>
        <v>#DIV/0!</v>
      </c>
      <c r="BD115" s="292" t="e">
        <f>IF(BB115+SUM($BD$12:BD114)&gt;=0,0,-BB115-SUM($BD$12:BD114))</f>
        <v>#DIV/0!</v>
      </c>
      <c r="BE115" s="235" t="e">
        <f>BB115+SUM($BD$12:BD115)</f>
        <v>#DIV/0!</v>
      </c>
      <c r="BF115" s="292" t="e">
        <f>-MIN(BE115:$BE$501)-SUM(BF$12:$BF114)</f>
        <v>#DIV/0!</v>
      </c>
      <c r="BG115" s="235" t="e">
        <f t="shared" si="93"/>
        <v>#DIV/0!</v>
      </c>
    </row>
    <row r="116" spans="2:59">
      <c r="B116" s="246">
        <v>103</v>
      </c>
      <c r="C116" s="241">
        <f t="shared" si="92"/>
        <v>45813</v>
      </c>
      <c r="D116" s="229">
        <f t="shared" si="94"/>
        <v>6</v>
      </c>
      <c r="E116" s="230" t="str">
        <f t="shared" si="95"/>
        <v>-</v>
      </c>
      <c r="F116" s="231">
        <f t="shared" si="96"/>
        <v>0</v>
      </c>
      <c r="G116" s="231">
        <f t="shared" si="97"/>
        <v>0</v>
      </c>
      <c r="H116" s="231">
        <f t="shared" si="98"/>
        <v>0</v>
      </c>
      <c r="I116" s="268">
        <f t="shared" si="83"/>
        <v>0</v>
      </c>
      <c r="J116" s="269">
        <f t="shared" si="99"/>
        <v>0</v>
      </c>
      <c r="K116" s="269">
        <f t="shared" si="100"/>
        <v>0</v>
      </c>
      <c r="L116" s="269">
        <f t="shared" si="84"/>
        <v>0</v>
      </c>
      <c r="M116" s="269">
        <f t="shared" si="85"/>
        <v>0</v>
      </c>
      <c r="N116" s="233">
        <f>VLOOKUP(B116,Dados!$L$86:$P$90,5)</f>
        <v>0</v>
      </c>
      <c r="O116" s="270">
        <f t="shared" si="101"/>
        <v>0.99999999999999989</v>
      </c>
      <c r="P116" s="269">
        <f t="shared" si="102"/>
        <v>0</v>
      </c>
      <c r="Q116" s="269" t="e">
        <f t="shared" si="103"/>
        <v>#DIV/0!</v>
      </c>
      <c r="R116" s="269">
        <f t="shared" si="104"/>
        <v>0</v>
      </c>
      <c r="S116" s="269" t="e">
        <f t="shared" si="105"/>
        <v>#DIV/0!</v>
      </c>
      <c r="T116" s="269" t="e">
        <f t="shared" si="91"/>
        <v>#DIV/0!</v>
      </c>
      <c r="U116" s="234">
        <f t="shared" si="106"/>
        <v>0</v>
      </c>
      <c r="V116" s="232" t="e">
        <f t="shared" si="107"/>
        <v>#DIV/0!</v>
      </c>
      <c r="W116" s="269" t="e">
        <f t="shared" si="108"/>
        <v>#DIV/0!</v>
      </c>
      <c r="X116" s="235">
        <f t="shared" si="86"/>
        <v>0</v>
      </c>
      <c r="Y116" s="236">
        <f t="shared" si="109"/>
        <v>5</v>
      </c>
      <c r="Z116" s="236" t="e">
        <f t="shared" si="110"/>
        <v>#DIV/0!</v>
      </c>
      <c r="AA116" s="236">
        <f t="shared" si="111"/>
        <v>3</v>
      </c>
      <c r="AB116" s="236" t="e">
        <f t="shared" si="112"/>
        <v>#DIV/0!</v>
      </c>
      <c r="AC116" s="235">
        <f t="shared" si="113"/>
        <v>0</v>
      </c>
      <c r="AD116" s="235">
        <f t="shared" si="114"/>
        <v>0</v>
      </c>
      <c r="AE116" s="279">
        <f t="shared" si="115"/>
        <v>0</v>
      </c>
      <c r="AF116" s="232">
        <f t="shared" si="116"/>
        <v>1</v>
      </c>
      <c r="AG116" s="235">
        <f t="shared" si="117"/>
        <v>0</v>
      </c>
      <c r="AH116" s="269">
        <f t="shared" si="118"/>
        <v>0</v>
      </c>
      <c r="AI116" s="232">
        <f t="shared" si="119"/>
        <v>0</v>
      </c>
      <c r="AJ116" s="235">
        <f t="shared" si="120"/>
        <v>0</v>
      </c>
      <c r="AK116" s="269">
        <f t="shared" si="121"/>
        <v>0</v>
      </c>
      <c r="AL116" s="269">
        <f t="shared" si="87"/>
        <v>0</v>
      </c>
      <c r="AM116" s="281" t="e">
        <f>IF(B116&gt;=mpfo,pos*vvm*Dados!$E$122*(ntudv-SUM(U117:$U$301))-SUM($AM$13:AM115),0)</f>
        <v>#DIV/0!</v>
      </c>
      <c r="AN116" s="269" t="e">
        <f t="shared" si="122"/>
        <v>#DIV/0!</v>
      </c>
      <c r="AO116" s="232" t="e">
        <f t="shared" si="123"/>
        <v>#DIV/0!</v>
      </c>
      <c r="AP116" s="242" t="e">
        <f t="shared" si="124"/>
        <v>#DIV/0!</v>
      </c>
      <c r="AQ116" s="235" t="e">
        <f>IF(AP116+SUM($AQ$12:AQ115)&gt;=0,0,-AP116-SUM($AQ$12:AQ115))</f>
        <v>#DIV/0!</v>
      </c>
      <c r="AR116" s="235">
        <f>IF(SUM($N$13:N115)&gt;=pmo,IF(SUM(N115:$N$501)&gt;(1-pmo),B116,0),0)</f>
        <v>0</v>
      </c>
      <c r="AS116" s="235" t="e">
        <f>IF((SUM($U$13:$U115)/ntudv)&gt;=pmv,IF((SUM($U115:$U$501)/ntudv)&gt;(1-pmv),B116,0),0)</f>
        <v>#DIV/0!</v>
      </c>
      <c r="AT116" s="237" t="e">
        <f>IF(MAX(mmo,mmv)=mmo,IF(B116=AR116,(SUM(N$13:$N115)-pmo)/((1-VLOOKUP(MAX(mmo,mmv)-1,$B$13:$O$501,14))+(VLOOKUP(MAX(mmo,mmv)-1,$B$13:$O$501,14)-pmo)),N115/((1-VLOOKUP(MAX(mmo,mmv)-1,$B$13:$O$501,14)+(VLOOKUP(MAX(mmo,mmv)-1,$B$13:$O$501,14)-pmo)))),N115/(1-VLOOKUP(MAX(mmo,mmv)-2,$B$13:$O$501,14)))</f>
        <v>#DIV/0!</v>
      </c>
      <c r="AU116" s="101" t="e">
        <f t="shared" si="88"/>
        <v>#DIV/0!</v>
      </c>
      <c r="AV116" s="287" t="e">
        <f t="shared" si="89"/>
        <v>#DIV/0!</v>
      </c>
      <c r="AW116" s="235" t="e">
        <f t="shared" si="125"/>
        <v>#DIV/0!</v>
      </c>
      <c r="AX116" s="281">
        <f>IF(B116&gt;mpfo,0,IF(B116=mpfo,(vld-teo*(1+tcfo-incc)^(MAX(mmo,mmv)-mbfo))*-1,IF(SUM($N$13:N115)&gt;=pmo,IF(($V115/ntudv)&gt;=pmv,IF(B116=MAX(mmo,mmv),-teo*(1+tcfo-incc)^(B116-mbfo),0),0),0)))</f>
        <v>0</v>
      </c>
      <c r="AY116" s="292" t="e">
        <f t="shared" si="90"/>
        <v>#DIV/0!</v>
      </c>
      <c r="AZ116" s="235" t="e">
        <f t="shared" si="126"/>
        <v>#DIV/0!</v>
      </c>
      <c r="BA116" s="269" t="e">
        <f t="shared" si="127"/>
        <v>#DIV/0!</v>
      </c>
      <c r="BB116" s="292" t="e">
        <f t="shared" si="128"/>
        <v>#DIV/0!</v>
      </c>
      <c r="BC116" s="238" t="e">
        <f>IF(SUM($BC$13:BC115)&gt;0,0,IF(BB116&gt;0,B116,0))</f>
        <v>#DIV/0!</v>
      </c>
      <c r="BD116" s="292" t="e">
        <f>IF(BB116+SUM($BD$12:BD115)&gt;=0,0,-BB116-SUM($BD$12:BD115))</f>
        <v>#DIV/0!</v>
      </c>
      <c r="BE116" s="235" t="e">
        <f>BB116+SUM($BD$12:BD116)</f>
        <v>#DIV/0!</v>
      </c>
      <c r="BF116" s="292" t="e">
        <f>-MIN(BE116:$BE$501)-SUM(BF$12:$BF115)</f>
        <v>#DIV/0!</v>
      </c>
      <c r="BG116" s="235" t="e">
        <f t="shared" si="93"/>
        <v>#DIV/0!</v>
      </c>
    </row>
    <row r="117" spans="2:59">
      <c r="B117" s="120">
        <v>104</v>
      </c>
      <c r="C117" s="241">
        <f t="shared" si="92"/>
        <v>45843</v>
      </c>
      <c r="D117" s="229">
        <f t="shared" si="94"/>
        <v>7</v>
      </c>
      <c r="E117" s="230" t="str">
        <f t="shared" si="95"/>
        <v>-</v>
      </c>
      <c r="F117" s="231">
        <f t="shared" si="96"/>
        <v>0</v>
      </c>
      <c r="G117" s="231">
        <f t="shared" si="97"/>
        <v>0</v>
      </c>
      <c r="H117" s="231">
        <f t="shared" si="98"/>
        <v>0</v>
      </c>
      <c r="I117" s="268">
        <f t="shared" si="83"/>
        <v>0</v>
      </c>
      <c r="J117" s="269">
        <f t="shared" si="99"/>
        <v>0</v>
      </c>
      <c r="K117" s="269">
        <f t="shared" si="100"/>
        <v>0</v>
      </c>
      <c r="L117" s="269">
        <f t="shared" si="84"/>
        <v>0</v>
      </c>
      <c r="M117" s="269">
        <f t="shared" si="85"/>
        <v>0</v>
      </c>
      <c r="N117" s="233">
        <f>VLOOKUP(B117,Dados!$L$86:$P$90,5)</f>
        <v>0</v>
      </c>
      <c r="O117" s="270">
        <f t="shared" si="101"/>
        <v>0.99999999999999989</v>
      </c>
      <c r="P117" s="269">
        <f t="shared" si="102"/>
        <v>0</v>
      </c>
      <c r="Q117" s="269" t="e">
        <f t="shared" si="103"/>
        <v>#DIV/0!</v>
      </c>
      <c r="R117" s="269">
        <f t="shared" si="104"/>
        <v>0</v>
      </c>
      <c r="S117" s="269" t="e">
        <f t="shared" si="105"/>
        <v>#DIV/0!</v>
      </c>
      <c r="T117" s="269" t="e">
        <f t="shared" si="91"/>
        <v>#DIV/0!</v>
      </c>
      <c r="U117" s="234">
        <f t="shared" si="106"/>
        <v>0</v>
      </c>
      <c r="V117" s="232" t="e">
        <f t="shared" si="107"/>
        <v>#DIV/0!</v>
      </c>
      <c r="W117" s="269" t="e">
        <f t="shared" si="108"/>
        <v>#DIV/0!</v>
      </c>
      <c r="X117" s="235">
        <f t="shared" si="86"/>
        <v>0</v>
      </c>
      <c r="Y117" s="236">
        <f t="shared" si="109"/>
        <v>5</v>
      </c>
      <c r="Z117" s="236" t="e">
        <f t="shared" si="110"/>
        <v>#DIV/0!</v>
      </c>
      <c r="AA117" s="236">
        <f t="shared" si="111"/>
        <v>3</v>
      </c>
      <c r="AB117" s="236" t="e">
        <f t="shared" si="112"/>
        <v>#DIV/0!</v>
      </c>
      <c r="AC117" s="235">
        <f t="shared" si="113"/>
        <v>0</v>
      </c>
      <c r="AD117" s="235">
        <f t="shared" si="114"/>
        <v>0</v>
      </c>
      <c r="AE117" s="279">
        <f t="shared" si="115"/>
        <v>0</v>
      </c>
      <c r="AF117" s="232">
        <f t="shared" si="116"/>
        <v>0</v>
      </c>
      <c r="AG117" s="235">
        <f t="shared" si="117"/>
        <v>0</v>
      </c>
      <c r="AH117" s="269">
        <f t="shared" si="118"/>
        <v>0</v>
      </c>
      <c r="AI117" s="232">
        <f t="shared" si="119"/>
        <v>0</v>
      </c>
      <c r="AJ117" s="235">
        <f t="shared" si="120"/>
        <v>0</v>
      </c>
      <c r="AK117" s="269">
        <f t="shared" si="121"/>
        <v>0</v>
      </c>
      <c r="AL117" s="269">
        <f t="shared" si="87"/>
        <v>0</v>
      </c>
      <c r="AM117" s="281" t="e">
        <f>IF(B117&gt;=mpfo,pos*vvm*Dados!$E$122*(ntudv-SUM(U118:$U$301))-SUM($AM$13:AM116),0)</f>
        <v>#DIV/0!</v>
      </c>
      <c r="AN117" s="269" t="e">
        <f t="shared" si="122"/>
        <v>#DIV/0!</v>
      </c>
      <c r="AO117" s="232" t="e">
        <f t="shared" si="123"/>
        <v>#DIV/0!</v>
      </c>
      <c r="AP117" s="242" t="e">
        <f t="shared" si="124"/>
        <v>#DIV/0!</v>
      </c>
      <c r="AQ117" s="235" t="e">
        <f>IF(AP117+SUM($AQ$12:AQ116)&gt;=0,0,-AP117-SUM($AQ$12:AQ116))</f>
        <v>#DIV/0!</v>
      </c>
      <c r="AR117" s="235">
        <f>IF(SUM($N$13:N116)&gt;=pmo,IF(SUM(N116:$N$501)&gt;(1-pmo),B117,0),0)</f>
        <v>0</v>
      </c>
      <c r="AS117" s="235" t="e">
        <f>IF((SUM($U$13:$U116)/ntudv)&gt;=pmv,IF((SUM($U116:$U$501)/ntudv)&gt;(1-pmv),B117,0),0)</f>
        <v>#DIV/0!</v>
      </c>
      <c r="AT117" s="237" t="e">
        <f>IF(MAX(mmo,mmv)=mmo,IF(B117=AR117,(SUM(N$13:$N116)-pmo)/((1-VLOOKUP(MAX(mmo,mmv)-1,$B$13:$O$501,14))+(VLOOKUP(MAX(mmo,mmv)-1,$B$13:$O$501,14)-pmo)),N116/((1-VLOOKUP(MAX(mmo,mmv)-1,$B$13:$O$501,14)+(VLOOKUP(MAX(mmo,mmv)-1,$B$13:$O$501,14)-pmo)))),N116/(1-VLOOKUP(MAX(mmo,mmv)-2,$B$13:$O$501,14)))</f>
        <v>#DIV/0!</v>
      </c>
      <c r="AU117" s="101" t="e">
        <f t="shared" si="88"/>
        <v>#DIV/0!</v>
      </c>
      <c r="AV117" s="287" t="e">
        <f t="shared" si="89"/>
        <v>#DIV/0!</v>
      </c>
      <c r="AW117" s="235" t="e">
        <f t="shared" si="125"/>
        <v>#DIV/0!</v>
      </c>
      <c r="AX117" s="281">
        <f>IF(B117&gt;mpfo,0,IF(B117=mpfo,(vld-teo*(1+tcfo-incc)^(MAX(mmo,mmv)-mbfo))*-1,IF(SUM($N$13:N116)&gt;=pmo,IF(($V116/ntudv)&gt;=pmv,IF(B117=MAX(mmo,mmv),-teo*(1+tcfo-incc)^(B117-mbfo),0),0),0)))</f>
        <v>0</v>
      </c>
      <c r="AY117" s="292" t="e">
        <f t="shared" si="90"/>
        <v>#DIV/0!</v>
      </c>
      <c r="AZ117" s="235" t="e">
        <f t="shared" si="126"/>
        <v>#DIV/0!</v>
      </c>
      <c r="BA117" s="269" t="e">
        <f t="shared" si="127"/>
        <v>#DIV/0!</v>
      </c>
      <c r="BB117" s="292" t="e">
        <f t="shared" si="128"/>
        <v>#DIV/0!</v>
      </c>
      <c r="BC117" s="238" t="e">
        <f>IF(SUM($BC$13:BC116)&gt;0,0,IF(BB117&gt;0,B117,0))</f>
        <v>#DIV/0!</v>
      </c>
      <c r="BD117" s="292" t="e">
        <f>IF(BB117+SUM($BD$12:BD116)&gt;=0,0,-BB117-SUM($BD$12:BD116))</f>
        <v>#DIV/0!</v>
      </c>
      <c r="BE117" s="235" t="e">
        <f>BB117+SUM($BD$12:BD117)</f>
        <v>#DIV/0!</v>
      </c>
      <c r="BF117" s="292" t="e">
        <f>-MIN(BE117:$BE$501)-SUM(BF$12:$BF116)</f>
        <v>#DIV/0!</v>
      </c>
      <c r="BG117" s="235" t="e">
        <f t="shared" si="93"/>
        <v>#DIV/0!</v>
      </c>
    </row>
    <row r="118" spans="2:59">
      <c r="B118" s="246">
        <v>105</v>
      </c>
      <c r="C118" s="241">
        <f t="shared" si="92"/>
        <v>45874</v>
      </c>
      <c r="D118" s="229">
        <f t="shared" si="94"/>
        <v>8</v>
      </c>
      <c r="E118" s="230" t="str">
        <f t="shared" si="95"/>
        <v>-</v>
      </c>
      <c r="F118" s="231">
        <f t="shared" si="96"/>
        <v>0</v>
      </c>
      <c r="G118" s="231">
        <f t="shared" si="97"/>
        <v>0</v>
      </c>
      <c r="H118" s="231">
        <f t="shared" si="98"/>
        <v>0</v>
      </c>
      <c r="I118" s="268">
        <f t="shared" si="83"/>
        <v>0</v>
      </c>
      <c r="J118" s="269">
        <f t="shared" si="99"/>
        <v>0</v>
      </c>
      <c r="K118" s="269">
        <f t="shared" si="100"/>
        <v>0</v>
      </c>
      <c r="L118" s="269">
        <f t="shared" si="84"/>
        <v>0</v>
      </c>
      <c r="M118" s="269">
        <f t="shared" si="85"/>
        <v>0</v>
      </c>
      <c r="N118" s="233">
        <f>VLOOKUP(B118,Dados!$L$86:$P$90,5)</f>
        <v>0</v>
      </c>
      <c r="O118" s="270">
        <f t="shared" si="101"/>
        <v>0.99999999999999989</v>
      </c>
      <c r="P118" s="269">
        <f t="shared" si="102"/>
        <v>0</v>
      </c>
      <c r="Q118" s="269" t="e">
        <f t="shared" si="103"/>
        <v>#DIV/0!</v>
      </c>
      <c r="R118" s="269">
        <f t="shared" si="104"/>
        <v>0</v>
      </c>
      <c r="S118" s="269" t="e">
        <f t="shared" si="105"/>
        <v>#DIV/0!</v>
      </c>
      <c r="T118" s="269" t="e">
        <f t="shared" si="91"/>
        <v>#DIV/0!</v>
      </c>
      <c r="U118" s="234">
        <f t="shared" si="106"/>
        <v>0</v>
      </c>
      <c r="V118" s="232" t="e">
        <f t="shared" si="107"/>
        <v>#DIV/0!</v>
      </c>
      <c r="W118" s="269" t="e">
        <f t="shared" si="108"/>
        <v>#DIV/0!</v>
      </c>
      <c r="X118" s="235">
        <f t="shared" si="86"/>
        <v>0</v>
      </c>
      <c r="Y118" s="236">
        <f t="shared" si="109"/>
        <v>5</v>
      </c>
      <c r="Z118" s="236" t="e">
        <f t="shared" si="110"/>
        <v>#DIV/0!</v>
      </c>
      <c r="AA118" s="236">
        <f t="shared" si="111"/>
        <v>3</v>
      </c>
      <c r="AB118" s="236" t="e">
        <f t="shared" si="112"/>
        <v>#DIV/0!</v>
      </c>
      <c r="AC118" s="235">
        <f t="shared" si="113"/>
        <v>0</v>
      </c>
      <c r="AD118" s="235">
        <f t="shared" si="114"/>
        <v>0</v>
      </c>
      <c r="AE118" s="279">
        <f t="shared" si="115"/>
        <v>0</v>
      </c>
      <c r="AF118" s="232">
        <f t="shared" si="116"/>
        <v>0</v>
      </c>
      <c r="AG118" s="235">
        <f t="shared" si="117"/>
        <v>0</v>
      </c>
      <c r="AH118" s="269">
        <f t="shared" si="118"/>
        <v>0</v>
      </c>
      <c r="AI118" s="232">
        <f t="shared" si="119"/>
        <v>0</v>
      </c>
      <c r="AJ118" s="235">
        <f t="shared" si="120"/>
        <v>0</v>
      </c>
      <c r="AK118" s="269">
        <f t="shared" si="121"/>
        <v>0</v>
      </c>
      <c r="AL118" s="269">
        <f t="shared" si="87"/>
        <v>0</v>
      </c>
      <c r="AM118" s="281" t="e">
        <f>IF(B118&gt;=mpfo,pos*vvm*Dados!$E$122*(ntudv-SUM(U119:$U$301))-SUM($AM$13:AM117),0)</f>
        <v>#DIV/0!</v>
      </c>
      <c r="AN118" s="269" t="e">
        <f t="shared" si="122"/>
        <v>#DIV/0!</v>
      </c>
      <c r="AO118" s="232" t="e">
        <f t="shared" si="123"/>
        <v>#DIV/0!</v>
      </c>
      <c r="AP118" s="242" t="e">
        <f t="shared" si="124"/>
        <v>#DIV/0!</v>
      </c>
      <c r="AQ118" s="235" t="e">
        <f>IF(AP118+SUM($AQ$12:AQ117)&gt;=0,0,-AP118-SUM($AQ$12:AQ117))</f>
        <v>#DIV/0!</v>
      </c>
      <c r="AR118" s="235">
        <f>IF(SUM($N$13:N117)&gt;=pmo,IF(SUM(N117:$N$501)&gt;(1-pmo),B118,0),0)</f>
        <v>0</v>
      </c>
      <c r="AS118" s="235" t="e">
        <f>IF((SUM($U$13:$U117)/ntudv)&gt;=pmv,IF((SUM($U117:$U$501)/ntudv)&gt;(1-pmv),B118,0),0)</f>
        <v>#DIV/0!</v>
      </c>
      <c r="AT118" s="237" t="e">
        <f>IF(MAX(mmo,mmv)=mmo,IF(B118=AR118,(SUM(N$13:$N117)-pmo)/((1-VLOOKUP(MAX(mmo,mmv)-1,$B$13:$O$501,14))+(VLOOKUP(MAX(mmo,mmv)-1,$B$13:$O$501,14)-pmo)),N117/((1-VLOOKUP(MAX(mmo,mmv)-1,$B$13:$O$501,14)+(VLOOKUP(MAX(mmo,mmv)-1,$B$13:$O$501,14)-pmo)))),N117/(1-VLOOKUP(MAX(mmo,mmv)-2,$B$13:$O$501,14)))</f>
        <v>#DIV/0!</v>
      </c>
      <c r="AU118" s="101" t="e">
        <f t="shared" si="88"/>
        <v>#DIV/0!</v>
      </c>
      <c r="AV118" s="287" t="e">
        <f t="shared" si="89"/>
        <v>#DIV/0!</v>
      </c>
      <c r="AW118" s="235" t="e">
        <f t="shared" si="125"/>
        <v>#DIV/0!</v>
      </c>
      <c r="AX118" s="281">
        <f>IF(B118&gt;mpfo,0,IF(B118=mpfo,(vld-teo*(1+tcfo-incc)^(MAX(mmo,mmv)-mbfo))*-1,IF(SUM($N$13:N117)&gt;=pmo,IF(($V117/ntudv)&gt;=pmv,IF(B118=MAX(mmo,mmv),-teo*(1+tcfo-incc)^(B118-mbfo),0),0),0)))</f>
        <v>0</v>
      </c>
      <c r="AY118" s="292" t="e">
        <f t="shared" si="90"/>
        <v>#DIV/0!</v>
      </c>
      <c r="AZ118" s="235" t="e">
        <f t="shared" si="126"/>
        <v>#DIV/0!</v>
      </c>
      <c r="BA118" s="269" t="e">
        <f t="shared" si="127"/>
        <v>#DIV/0!</v>
      </c>
      <c r="BB118" s="292" t="e">
        <f t="shared" si="128"/>
        <v>#DIV/0!</v>
      </c>
      <c r="BC118" s="238" t="e">
        <f>IF(SUM($BC$13:BC117)&gt;0,0,IF(BB118&gt;0,B118,0))</f>
        <v>#DIV/0!</v>
      </c>
      <c r="BD118" s="292" t="e">
        <f>IF(BB118+SUM($BD$12:BD117)&gt;=0,0,-BB118-SUM($BD$12:BD117))</f>
        <v>#DIV/0!</v>
      </c>
      <c r="BE118" s="235" t="e">
        <f>BB118+SUM($BD$12:BD118)</f>
        <v>#DIV/0!</v>
      </c>
      <c r="BF118" s="292" t="e">
        <f>-MIN(BE118:$BE$501)-SUM(BF$12:$BF117)</f>
        <v>#DIV/0!</v>
      </c>
      <c r="BG118" s="235" t="e">
        <f t="shared" si="93"/>
        <v>#DIV/0!</v>
      </c>
    </row>
    <row r="119" spans="2:59">
      <c r="B119" s="120">
        <v>106</v>
      </c>
      <c r="C119" s="241">
        <f t="shared" si="92"/>
        <v>45905</v>
      </c>
      <c r="D119" s="229">
        <f t="shared" si="94"/>
        <v>9</v>
      </c>
      <c r="E119" s="230" t="str">
        <f t="shared" si="95"/>
        <v>-</v>
      </c>
      <c r="F119" s="231">
        <f t="shared" si="96"/>
        <v>0</v>
      </c>
      <c r="G119" s="231">
        <f t="shared" si="97"/>
        <v>0</v>
      </c>
      <c r="H119" s="231">
        <f t="shared" si="98"/>
        <v>0</v>
      </c>
      <c r="I119" s="268">
        <f t="shared" si="83"/>
        <v>0</v>
      </c>
      <c r="J119" s="269">
        <f t="shared" si="99"/>
        <v>0</v>
      </c>
      <c r="K119" s="269">
        <f t="shared" si="100"/>
        <v>0</v>
      </c>
      <c r="L119" s="269">
        <f t="shared" si="84"/>
        <v>0</v>
      </c>
      <c r="M119" s="269">
        <f t="shared" si="85"/>
        <v>0</v>
      </c>
      <c r="N119" s="233">
        <f>VLOOKUP(B119,Dados!$L$86:$P$90,5)</f>
        <v>0</v>
      </c>
      <c r="O119" s="270">
        <f t="shared" si="101"/>
        <v>0.99999999999999989</v>
      </c>
      <c r="P119" s="269">
        <f t="shared" si="102"/>
        <v>0</v>
      </c>
      <c r="Q119" s="269" t="e">
        <f t="shared" si="103"/>
        <v>#DIV/0!</v>
      </c>
      <c r="R119" s="269">
        <f t="shared" si="104"/>
        <v>0</v>
      </c>
      <c r="S119" s="269" t="e">
        <f t="shared" si="105"/>
        <v>#DIV/0!</v>
      </c>
      <c r="T119" s="269" t="e">
        <f t="shared" si="91"/>
        <v>#DIV/0!</v>
      </c>
      <c r="U119" s="234">
        <f t="shared" si="106"/>
        <v>0</v>
      </c>
      <c r="V119" s="232" t="e">
        <f t="shared" si="107"/>
        <v>#DIV/0!</v>
      </c>
      <c r="W119" s="269" t="e">
        <f t="shared" si="108"/>
        <v>#DIV/0!</v>
      </c>
      <c r="X119" s="235">
        <f t="shared" si="86"/>
        <v>0</v>
      </c>
      <c r="Y119" s="236">
        <f t="shared" si="109"/>
        <v>5</v>
      </c>
      <c r="Z119" s="236" t="e">
        <f t="shared" si="110"/>
        <v>#DIV/0!</v>
      </c>
      <c r="AA119" s="236">
        <f t="shared" si="111"/>
        <v>3</v>
      </c>
      <c r="AB119" s="236" t="e">
        <f t="shared" si="112"/>
        <v>#DIV/0!</v>
      </c>
      <c r="AC119" s="235">
        <f t="shared" si="113"/>
        <v>0</v>
      </c>
      <c r="AD119" s="235">
        <f t="shared" si="114"/>
        <v>0</v>
      </c>
      <c r="AE119" s="279">
        <f t="shared" si="115"/>
        <v>0</v>
      </c>
      <c r="AF119" s="232">
        <f t="shared" si="116"/>
        <v>0</v>
      </c>
      <c r="AG119" s="235">
        <f t="shared" si="117"/>
        <v>0</v>
      </c>
      <c r="AH119" s="269">
        <f t="shared" si="118"/>
        <v>0</v>
      </c>
      <c r="AI119" s="232">
        <f t="shared" si="119"/>
        <v>0</v>
      </c>
      <c r="AJ119" s="235">
        <f t="shared" si="120"/>
        <v>0</v>
      </c>
      <c r="AK119" s="269">
        <f t="shared" si="121"/>
        <v>0</v>
      </c>
      <c r="AL119" s="269">
        <f t="shared" si="87"/>
        <v>0</v>
      </c>
      <c r="AM119" s="281" t="e">
        <f>IF(B119&gt;=mpfo,pos*vvm*Dados!$E$122*(ntudv-SUM(U120:$U$301))-SUM($AM$13:AM118),0)</f>
        <v>#DIV/0!</v>
      </c>
      <c r="AN119" s="269" t="e">
        <f t="shared" si="122"/>
        <v>#DIV/0!</v>
      </c>
      <c r="AO119" s="232" t="e">
        <f t="shared" si="123"/>
        <v>#DIV/0!</v>
      </c>
      <c r="AP119" s="242" t="e">
        <f t="shared" si="124"/>
        <v>#DIV/0!</v>
      </c>
      <c r="AQ119" s="235" t="e">
        <f>IF(AP119+SUM($AQ$12:AQ118)&gt;=0,0,-AP119-SUM($AQ$12:AQ118))</f>
        <v>#DIV/0!</v>
      </c>
      <c r="AR119" s="235">
        <f>IF(SUM($N$13:N118)&gt;=pmo,IF(SUM(N118:$N$501)&gt;(1-pmo),B119,0),0)</f>
        <v>0</v>
      </c>
      <c r="AS119" s="235" t="e">
        <f>IF((SUM($U$13:$U118)/ntudv)&gt;=pmv,IF((SUM($U118:$U$501)/ntudv)&gt;(1-pmv),B119,0),0)</f>
        <v>#DIV/0!</v>
      </c>
      <c r="AT119" s="237" t="e">
        <f>IF(MAX(mmo,mmv)=mmo,IF(B119=AR119,(SUM(N$13:$N118)-pmo)/((1-VLOOKUP(MAX(mmo,mmv)-1,$B$13:$O$501,14))+(VLOOKUP(MAX(mmo,mmv)-1,$B$13:$O$501,14)-pmo)),N118/((1-VLOOKUP(MAX(mmo,mmv)-1,$B$13:$O$501,14)+(VLOOKUP(MAX(mmo,mmv)-1,$B$13:$O$501,14)-pmo)))),N118/(1-VLOOKUP(MAX(mmo,mmv)-2,$B$13:$O$501,14)))</f>
        <v>#DIV/0!</v>
      </c>
      <c r="AU119" s="101" t="e">
        <f t="shared" si="88"/>
        <v>#DIV/0!</v>
      </c>
      <c r="AV119" s="287" t="e">
        <f t="shared" si="89"/>
        <v>#DIV/0!</v>
      </c>
      <c r="AW119" s="235" t="e">
        <f t="shared" si="125"/>
        <v>#DIV/0!</v>
      </c>
      <c r="AX119" s="281">
        <f>IF(B119&gt;mpfo,0,IF(B119=mpfo,(vld-teo*(1+tcfo-incc)^(MAX(mmo,mmv)-mbfo))*-1,IF(SUM($N$13:N118)&gt;=pmo,IF(($V118/ntudv)&gt;=pmv,IF(B119=MAX(mmo,mmv),-teo*(1+tcfo-incc)^(B119-mbfo),0),0),0)))</f>
        <v>0</v>
      </c>
      <c r="AY119" s="292" t="e">
        <f t="shared" si="90"/>
        <v>#DIV/0!</v>
      </c>
      <c r="AZ119" s="235" t="e">
        <f t="shared" si="126"/>
        <v>#DIV/0!</v>
      </c>
      <c r="BA119" s="269" t="e">
        <f t="shared" si="127"/>
        <v>#DIV/0!</v>
      </c>
      <c r="BB119" s="292" t="e">
        <f t="shared" si="128"/>
        <v>#DIV/0!</v>
      </c>
      <c r="BC119" s="238" t="e">
        <f>IF(SUM($BC$13:BC118)&gt;0,0,IF(BB119&gt;0,B119,0))</f>
        <v>#DIV/0!</v>
      </c>
      <c r="BD119" s="292" t="e">
        <f>IF(BB119+SUM($BD$12:BD118)&gt;=0,0,-BB119-SUM($BD$12:BD118))</f>
        <v>#DIV/0!</v>
      </c>
      <c r="BE119" s="235" t="e">
        <f>BB119+SUM($BD$12:BD119)</f>
        <v>#DIV/0!</v>
      </c>
      <c r="BF119" s="292" t="e">
        <f>-MIN(BE119:$BE$501)-SUM(BF$12:$BF118)</f>
        <v>#DIV/0!</v>
      </c>
      <c r="BG119" s="235" t="e">
        <f t="shared" si="93"/>
        <v>#DIV/0!</v>
      </c>
    </row>
    <row r="120" spans="2:59">
      <c r="B120" s="246">
        <v>107</v>
      </c>
      <c r="C120" s="241">
        <f t="shared" si="92"/>
        <v>45935</v>
      </c>
      <c r="D120" s="229">
        <f t="shared" si="94"/>
        <v>10</v>
      </c>
      <c r="E120" s="230" t="str">
        <f t="shared" si="95"/>
        <v>-</v>
      </c>
      <c r="F120" s="231">
        <f t="shared" si="96"/>
        <v>0</v>
      </c>
      <c r="G120" s="231">
        <f t="shared" si="97"/>
        <v>0</v>
      </c>
      <c r="H120" s="231">
        <f t="shared" si="98"/>
        <v>0</v>
      </c>
      <c r="I120" s="268">
        <f t="shared" si="83"/>
        <v>0</v>
      </c>
      <c r="J120" s="269">
        <f t="shared" si="99"/>
        <v>0</v>
      </c>
      <c r="K120" s="269">
        <f t="shared" si="100"/>
        <v>0</v>
      </c>
      <c r="L120" s="269">
        <f t="shared" si="84"/>
        <v>0</v>
      </c>
      <c r="M120" s="269">
        <f t="shared" si="85"/>
        <v>0</v>
      </c>
      <c r="N120" s="233">
        <f>VLOOKUP(B120,Dados!$L$86:$P$90,5)</f>
        <v>0</v>
      </c>
      <c r="O120" s="270">
        <f t="shared" si="101"/>
        <v>0.99999999999999989</v>
      </c>
      <c r="P120" s="269">
        <f t="shared" si="102"/>
        <v>0</v>
      </c>
      <c r="Q120" s="269" t="e">
        <f t="shared" si="103"/>
        <v>#DIV/0!</v>
      </c>
      <c r="R120" s="269">
        <f t="shared" si="104"/>
        <v>0</v>
      </c>
      <c r="S120" s="269" t="e">
        <f t="shared" si="105"/>
        <v>#DIV/0!</v>
      </c>
      <c r="T120" s="269" t="e">
        <f t="shared" si="91"/>
        <v>#DIV/0!</v>
      </c>
      <c r="U120" s="234">
        <f t="shared" si="106"/>
        <v>0</v>
      </c>
      <c r="V120" s="232" t="e">
        <f t="shared" si="107"/>
        <v>#DIV/0!</v>
      </c>
      <c r="W120" s="269" t="e">
        <f t="shared" si="108"/>
        <v>#DIV/0!</v>
      </c>
      <c r="X120" s="235">
        <f t="shared" si="86"/>
        <v>0</v>
      </c>
      <c r="Y120" s="236">
        <f t="shared" si="109"/>
        <v>5</v>
      </c>
      <c r="Z120" s="236" t="e">
        <f t="shared" si="110"/>
        <v>#DIV/0!</v>
      </c>
      <c r="AA120" s="236">
        <f t="shared" si="111"/>
        <v>3</v>
      </c>
      <c r="AB120" s="236" t="e">
        <f t="shared" si="112"/>
        <v>#DIV/0!</v>
      </c>
      <c r="AC120" s="235">
        <f t="shared" si="113"/>
        <v>0</v>
      </c>
      <c r="AD120" s="235">
        <f t="shared" si="114"/>
        <v>0</v>
      </c>
      <c r="AE120" s="279">
        <f t="shared" si="115"/>
        <v>0</v>
      </c>
      <c r="AF120" s="232">
        <f t="shared" si="116"/>
        <v>0</v>
      </c>
      <c r="AG120" s="235">
        <f t="shared" si="117"/>
        <v>0</v>
      </c>
      <c r="AH120" s="269">
        <f t="shared" si="118"/>
        <v>0</v>
      </c>
      <c r="AI120" s="232">
        <f t="shared" si="119"/>
        <v>0</v>
      </c>
      <c r="AJ120" s="235">
        <f t="shared" si="120"/>
        <v>0</v>
      </c>
      <c r="AK120" s="269">
        <f t="shared" si="121"/>
        <v>0</v>
      </c>
      <c r="AL120" s="269">
        <f t="shared" si="87"/>
        <v>0</v>
      </c>
      <c r="AM120" s="281" t="e">
        <f>IF(B120&gt;=mpfo,pos*vvm*Dados!$E$122*(ntudv-SUM(U121:$U$301))-SUM($AM$13:AM119),0)</f>
        <v>#DIV/0!</v>
      </c>
      <c r="AN120" s="269" t="e">
        <f t="shared" si="122"/>
        <v>#DIV/0!</v>
      </c>
      <c r="AO120" s="232" t="e">
        <f t="shared" si="123"/>
        <v>#DIV/0!</v>
      </c>
      <c r="AP120" s="242" t="e">
        <f t="shared" si="124"/>
        <v>#DIV/0!</v>
      </c>
      <c r="AQ120" s="235" t="e">
        <f>IF(AP120+SUM($AQ$12:AQ119)&gt;=0,0,-AP120-SUM($AQ$12:AQ119))</f>
        <v>#DIV/0!</v>
      </c>
      <c r="AR120" s="235">
        <f>IF(SUM($N$13:N119)&gt;=pmo,IF(SUM(N119:$N$501)&gt;(1-pmo),B120,0),0)</f>
        <v>0</v>
      </c>
      <c r="AS120" s="235" t="e">
        <f>IF((SUM($U$13:$U119)/ntudv)&gt;=pmv,IF((SUM($U119:$U$501)/ntudv)&gt;(1-pmv),B120,0),0)</f>
        <v>#DIV/0!</v>
      </c>
      <c r="AT120" s="237" t="e">
        <f>IF(MAX(mmo,mmv)=mmo,IF(B120=AR120,(SUM(N$13:$N119)-pmo)/((1-VLOOKUP(MAX(mmo,mmv)-1,$B$13:$O$501,14))+(VLOOKUP(MAX(mmo,mmv)-1,$B$13:$O$501,14)-pmo)),N119/((1-VLOOKUP(MAX(mmo,mmv)-1,$B$13:$O$501,14)+(VLOOKUP(MAX(mmo,mmv)-1,$B$13:$O$501,14)-pmo)))),N119/(1-VLOOKUP(MAX(mmo,mmv)-2,$B$13:$O$501,14)))</f>
        <v>#DIV/0!</v>
      </c>
      <c r="AU120" s="101" t="e">
        <f t="shared" si="88"/>
        <v>#DIV/0!</v>
      </c>
      <c r="AV120" s="287" t="e">
        <f t="shared" si="89"/>
        <v>#DIV/0!</v>
      </c>
      <c r="AW120" s="235" t="e">
        <f t="shared" si="125"/>
        <v>#DIV/0!</v>
      </c>
      <c r="AX120" s="281">
        <f>IF(B120&gt;mpfo,0,IF(B120=mpfo,(vld-teo*(1+tcfo-incc)^(MAX(mmo,mmv)-mbfo))*-1,IF(SUM($N$13:N119)&gt;=pmo,IF(($V119/ntudv)&gt;=pmv,IF(B120=MAX(mmo,mmv),-teo*(1+tcfo-incc)^(B120-mbfo),0),0),0)))</f>
        <v>0</v>
      </c>
      <c r="AY120" s="292" t="e">
        <f t="shared" si="90"/>
        <v>#DIV/0!</v>
      </c>
      <c r="AZ120" s="235" t="e">
        <f t="shared" si="126"/>
        <v>#DIV/0!</v>
      </c>
      <c r="BA120" s="269" t="e">
        <f t="shared" si="127"/>
        <v>#DIV/0!</v>
      </c>
      <c r="BB120" s="292" t="e">
        <f t="shared" si="128"/>
        <v>#DIV/0!</v>
      </c>
      <c r="BC120" s="238" t="e">
        <f>IF(SUM($BC$13:BC119)&gt;0,0,IF(BB120&gt;0,B120,0))</f>
        <v>#DIV/0!</v>
      </c>
      <c r="BD120" s="292" t="e">
        <f>IF(BB120+SUM($BD$12:BD119)&gt;=0,0,-BB120-SUM($BD$12:BD119))</f>
        <v>#DIV/0!</v>
      </c>
      <c r="BE120" s="235" t="e">
        <f>BB120+SUM($BD$12:BD120)</f>
        <v>#DIV/0!</v>
      </c>
      <c r="BF120" s="292" t="e">
        <f>-MIN(BE120:$BE$501)-SUM(BF$12:$BF119)</f>
        <v>#DIV/0!</v>
      </c>
      <c r="BG120" s="235" t="e">
        <f t="shared" si="93"/>
        <v>#DIV/0!</v>
      </c>
    </row>
    <row r="121" spans="2:59">
      <c r="B121" s="120">
        <v>108</v>
      </c>
      <c r="C121" s="241">
        <f t="shared" si="92"/>
        <v>45966</v>
      </c>
      <c r="D121" s="229">
        <f t="shared" si="94"/>
        <v>11</v>
      </c>
      <c r="E121" s="230" t="str">
        <f t="shared" si="95"/>
        <v>-</v>
      </c>
      <c r="F121" s="231">
        <f t="shared" si="96"/>
        <v>0</v>
      </c>
      <c r="G121" s="231">
        <f t="shared" si="97"/>
        <v>0</v>
      </c>
      <c r="H121" s="231">
        <f t="shared" si="98"/>
        <v>0</v>
      </c>
      <c r="I121" s="268">
        <f t="shared" si="83"/>
        <v>0</v>
      </c>
      <c r="J121" s="269">
        <f t="shared" si="99"/>
        <v>0</v>
      </c>
      <c r="K121" s="269">
        <f t="shared" si="100"/>
        <v>0</v>
      </c>
      <c r="L121" s="269">
        <f t="shared" si="84"/>
        <v>0</v>
      </c>
      <c r="M121" s="269">
        <f t="shared" si="85"/>
        <v>0</v>
      </c>
      <c r="N121" s="233">
        <f>VLOOKUP(B121,Dados!$L$86:$P$90,5)</f>
        <v>0</v>
      </c>
      <c r="O121" s="270">
        <f t="shared" si="101"/>
        <v>0.99999999999999989</v>
      </c>
      <c r="P121" s="269">
        <f t="shared" si="102"/>
        <v>0</v>
      </c>
      <c r="Q121" s="269" t="e">
        <f t="shared" si="103"/>
        <v>#DIV/0!</v>
      </c>
      <c r="R121" s="269">
        <f t="shared" si="104"/>
        <v>0</v>
      </c>
      <c r="S121" s="269" t="e">
        <f t="shared" si="105"/>
        <v>#DIV/0!</v>
      </c>
      <c r="T121" s="269" t="e">
        <f t="shared" si="91"/>
        <v>#DIV/0!</v>
      </c>
      <c r="U121" s="234">
        <f t="shared" si="106"/>
        <v>0</v>
      </c>
      <c r="V121" s="232" t="e">
        <f t="shared" si="107"/>
        <v>#DIV/0!</v>
      </c>
      <c r="W121" s="269" t="e">
        <f t="shared" si="108"/>
        <v>#DIV/0!</v>
      </c>
      <c r="X121" s="235">
        <f t="shared" si="86"/>
        <v>0</v>
      </c>
      <c r="Y121" s="236">
        <f t="shared" si="109"/>
        <v>5</v>
      </c>
      <c r="Z121" s="236" t="e">
        <f t="shared" si="110"/>
        <v>#DIV/0!</v>
      </c>
      <c r="AA121" s="236">
        <f t="shared" si="111"/>
        <v>3</v>
      </c>
      <c r="AB121" s="236" t="e">
        <f t="shared" si="112"/>
        <v>#DIV/0!</v>
      </c>
      <c r="AC121" s="235">
        <f t="shared" si="113"/>
        <v>0</v>
      </c>
      <c r="AD121" s="235">
        <f t="shared" si="114"/>
        <v>0</v>
      </c>
      <c r="AE121" s="279">
        <f t="shared" si="115"/>
        <v>0</v>
      </c>
      <c r="AF121" s="232">
        <f t="shared" si="116"/>
        <v>0</v>
      </c>
      <c r="AG121" s="235">
        <f t="shared" si="117"/>
        <v>0</v>
      </c>
      <c r="AH121" s="269">
        <f t="shared" si="118"/>
        <v>0</v>
      </c>
      <c r="AI121" s="232">
        <f t="shared" si="119"/>
        <v>0</v>
      </c>
      <c r="AJ121" s="235">
        <f t="shared" si="120"/>
        <v>0</v>
      </c>
      <c r="AK121" s="269">
        <f t="shared" si="121"/>
        <v>0</v>
      </c>
      <c r="AL121" s="269">
        <f t="shared" si="87"/>
        <v>0</v>
      </c>
      <c r="AM121" s="281" t="e">
        <f>IF(B121&gt;=mpfo,pos*vvm*Dados!$E$122*(ntudv-SUM(U122:$U$301))-SUM($AM$13:AM120),0)</f>
        <v>#DIV/0!</v>
      </c>
      <c r="AN121" s="269" t="e">
        <f t="shared" si="122"/>
        <v>#DIV/0!</v>
      </c>
      <c r="AO121" s="232" t="e">
        <f t="shared" si="123"/>
        <v>#DIV/0!</v>
      </c>
      <c r="AP121" s="242" t="e">
        <f t="shared" si="124"/>
        <v>#DIV/0!</v>
      </c>
      <c r="AQ121" s="235" t="e">
        <f>IF(AP121+SUM($AQ$12:AQ120)&gt;=0,0,-AP121-SUM($AQ$12:AQ120))</f>
        <v>#DIV/0!</v>
      </c>
      <c r="AR121" s="235">
        <f>IF(SUM($N$13:N120)&gt;=pmo,IF(SUM(N120:$N$501)&gt;(1-pmo),B121,0),0)</f>
        <v>0</v>
      </c>
      <c r="AS121" s="235" t="e">
        <f>IF((SUM($U$13:$U120)/ntudv)&gt;=pmv,IF((SUM($U120:$U$501)/ntudv)&gt;(1-pmv),B121,0),0)</f>
        <v>#DIV/0!</v>
      </c>
      <c r="AT121" s="237" t="e">
        <f>IF(MAX(mmo,mmv)=mmo,IF(B121=AR121,(SUM(N$13:$N120)-pmo)/((1-VLOOKUP(MAX(mmo,mmv)-1,$B$13:$O$501,14))+(VLOOKUP(MAX(mmo,mmv)-1,$B$13:$O$501,14)-pmo)),N120/((1-VLOOKUP(MAX(mmo,mmv)-1,$B$13:$O$501,14)+(VLOOKUP(MAX(mmo,mmv)-1,$B$13:$O$501,14)-pmo)))),N120/(1-VLOOKUP(MAX(mmo,mmv)-2,$B$13:$O$501,14)))</f>
        <v>#DIV/0!</v>
      </c>
      <c r="AU121" s="101" t="e">
        <f t="shared" si="88"/>
        <v>#DIV/0!</v>
      </c>
      <c r="AV121" s="287" t="e">
        <f t="shared" si="89"/>
        <v>#DIV/0!</v>
      </c>
      <c r="AW121" s="235" t="e">
        <f t="shared" si="125"/>
        <v>#DIV/0!</v>
      </c>
      <c r="AX121" s="281">
        <f>IF(B121&gt;mpfo,0,IF(B121=mpfo,(vld-teo*(1+tcfo-incc)^(MAX(mmo,mmv)-mbfo))*-1,IF(SUM($N$13:N120)&gt;=pmo,IF(($V120/ntudv)&gt;=pmv,IF(B121=MAX(mmo,mmv),-teo*(1+tcfo-incc)^(B121-mbfo),0),0),0)))</f>
        <v>0</v>
      </c>
      <c r="AY121" s="292" t="e">
        <f t="shared" si="90"/>
        <v>#DIV/0!</v>
      </c>
      <c r="AZ121" s="235" t="e">
        <f t="shared" si="126"/>
        <v>#DIV/0!</v>
      </c>
      <c r="BA121" s="269" t="e">
        <f t="shared" si="127"/>
        <v>#DIV/0!</v>
      </c>
      <c r="BB121" s="292" t="e">
        <f t="shared" si="128"/>
        <v>#DIV/0!</v>
      </c>
      <c r="BC121" s="238" t="e">
        <f>IF(SUM($BC$13:BC120)&gt;0,0,IF(BB121&gt;0,B121,0))</f>
        <v>#DIV/0!</v>
      </c>
      <c r="BD121" s="292" t="e">
        <f>IF(BB121+SUM($BD$12:BD120)&gt;=0,0,-BB121-SUM($BD$12:BD120))</f>
        <v>#DIV/0!</v>
      </c>
      <c r="BE121" s="235" t="e">
        <f>BB121+SUM($BD$12:BD121)</f>
        <v>#DIV/0!</v>
      </c>
      <c r="BF121" s="292" t="e">
        <f>-MIN(BE121:$BE$501)-SUM(BF$12:$BF120)</f>
        <v>#DIV/0!</v>
      </c>
      <c r="BG121" s="235" t="e">
        <f t="shared" si="93"/>
        <v>#DIV/0!</v>
      </c>
    </row>
    <row r="122" spans="2:59">
      <c r="B122" s="246">
        <v>109</v>
      </c>
      <c r="C122" s="241">
        <f t="shared" si="92"/>
        <v>45996</v>
      </c>
      <c r="D122" s="229">
        <f t="shared" si="94"/>
        <v>12</v>
      </c>
      <c r="E122" s="230" t="str">
        <f t="shared" si="95"/>
        <v>-</v>
      </c>
      <c r="F122" s="231">
        <f t="shared" si="96"/>
        <v>0</v>
      </c>
      <c r="G122" s="231">
        <f t="shared" si="97"/>
        <v>0</v>
      </c>
      <c r="H122" s="231">
        <f t="shared" si="98"/>
        <v>0</v>
      </c>
      <c r="I122" s="268">
        <f t="shared" si="83"/>
        <v>0</v>
      </c>
      <c r="J122" s="269">
        <f t="shared" si="99"/>
        <v>0</v>
      </c>
      <c r="K122" s="269">
        <f t="shared" si="100"/>
        <v>0</v>
      </c>
      <c r="L122" s="269">
        <f t="shared" si="84"/>
        <v>0</v>
      </c>
      <c r="M122" s="269">
        <f t="shared" si="85"/>
        <v>0</v>
      </c>
      <c r="N122" s="233">
        <f>VLOOKUP(B122,Dados!$L$86:$P$90,5)</f>
        <v>0</v>
      </c>
      <c r="O122" s="270">
        <f t="shared" si="101"/>
        <v>0.99999999999999989</v>
      </c>
      <c r="P122" s="269">
        <f t="shared" si="102"/>
        <v>0</v>
      </c>
      <c r="Q122" s="269" t="e">
        <f t="shared" si="103"/>
        <v>#DIV/0!</v>
      </c>
      <c r="R122" s="269">
        <f t="shared" si="104"/>
        <v>0</v>
      </c>
      <c r="S122" s="269" t="e">
        <f t="shared" si="105"/>
        <v>#DIV/0!</v>
      </c>
      <c r="T122" s="269" t="e">
        <f t="shared" si="91"/>
        <v>#DIV/0!</v>
      </c>
      <c r="U122" s="234">
        <f t="shared" si="106"/>
        <v>0</v>
      </c>
      <c r="V122" s="232" t="e">
        <f t="shared" si="107"/>
        <v>#DIV/0!</v>
      </c>
      <c r="W122" s="269" t="e">
        <f t="shared" si="108"/>
        <v>#DIV/0!</v>
      </c>
      <c r="X122" s="235">
        <f t="shared" si="86"/>
        <v>0</v>
      </c>
      <c r="Y122" s="236">
        <f t="shared" si="109"/>
        <v>5</v>
      </c>
      <c r="Z122" s="236" t="e">
        <f t="shared" si="110"/>
        <v>#DIV/0!</v>
      </c>
      <c r="AA122" s="236">
        <f t="shared" si="111"/>
        <v>3</v>
      </c>
      <c r="AB122" s="236" t="e">
        <f t="shared" si="112"/>
        <v>#DIV/0!</v>
      </c>
      <c r="AC122" s="235">
        <f t="shared" si="113"/>
        <v>0</v>
      </c>
      <c r="AD122" s="235">
        <f t="shared" si="114"/>
        <v>0</v>
      </c>
      <c r="AE122" s="279">
        <f t="shared" si="115"/>
        <v>0</v>
      </c>
      <c r="AF122" s="232">
        <f t="shared" si="116"/>
        <v>1</v>
      </c>
      <c r="AG122" s="235">
        <f t="shared" si="117"/>
        <v>0</v>
      </c>
      <c r="AH122" s="269">
        <f t="shared" si="118"/>
        <v>0</v>
      </c>
      <c r="AI122" s="232">
        <f t="shared" si="119"/>
        <v>1</v>
      </c>
      <c r="AJ122" s="235">
        <f t="shared" si="120"/>
        <v>0</v>
      </c>
      <c r="AK122" s="269">
        <f t="shared" si="121"/>
        <v>0</v>
      </c>
      <c r="AL122" s="269">
        <f t="shared" si="87"/>
        <v>0</v>
      </c>
      <c r="AM122" s="281" t="e">
        <f>IF(B122&gt;=mpfo,pos*vvm*Dados!$E$122*(ntudv-SUM(U123:$U$301))-SUM($AM$13:AM121),0)</f>
        <v>#DIV/0!</v>
      </c>
      <c r="AN122" s="269" t="e">
        <f t="shared" si="122"/>
        <v>#DIV/0!</v>
      </c>
      <c r="AO122" s="232" t="e">
        <f t="shared" si="123"/>
        <v>#DIV/0!</v>
      </c>
      <c r="AP122" s="242" t="e">
        <f t="shared" si="124"/>
        <v>#DIV/0!</v>
      </c>
      <c r="AQ122" s="235" t="e">
        <f>IF(AP122+SUM($AQ$12:AQ121)&gt;=0,0,-AP122-SUM($AQ$12:AQ121))</f>
        <v>#DIV/0!</v>
      </c>
      <c r="AR122" s="235">
        <f>IF(SUM($N$13:N121)&gt;=pmo,IF(SUM(N121:$N$501)&gt;(1-pmo),B122,0),0)</f>
        <v>0</v>
      </c>
      <c r="AS122" s="235" t="e">
        <f>IF((SUM($U$13:$U121)/ntudv)&gt;=pmv,IF((SUM($U121:$U$501)/ntudv)&gt;(1-pmv),B122,0),0)</f>
        <v>#DIV/0!</v>
      </c>
      <c r="AT122" s="237" t="e">
        <f>IF(MAX(mmo,mmv)=mmo,IF(B122=AR122,(SUM(N$13:$N121)-pmo)/((1-VLOOKUP(MAX(mmo,mmv)-1,$B$13:$O$501,14))+(VLOOKUP(MAX(mmo,mmv)-1,$B$13:$O$501,14)-pmo)),N121/((1-VLOOKUP(MAX(mmo,mmv)-1,$B$13:$O$501,14)+(VLOOKUP(MAX(mmo,mmv)-1,$B$13:$O$501,14)-pmo)))),N121/(1-VLOOKUP(MAX(mmo,mmv)-2,$B$13:$O$501,14)))</f>
        <v>#DIV/0!</v>
      </c>
      <c r="AU122" s="101" t="e">
        <f t="shared" si="88"/>
        <v>#DIV/0!</v>
      </c>
      <c r="AV122" s="287" t="e">
        <f t="shared" si="89"/>
        <v>#DIV/0!</v>
      </c>
      <c r="AW122" s="235" t="e">
        <f t="shared" si="125"/>
        <v>#DIV/0!</v>
      </c>
      <c r="AX122" s="281">
        <f>IF(B122&gt;mpfo,0,IF(B122=mpfo,(vld-teo*(1+tcfo-incc)^(MAX(mmo,mmv)-mbfo))*-1,IF(SUM($N$13:N121)&gt;=pmo,IF(($V121/ntudv)&gt;=pmv,IF(B122=MAX(mmo,mmv),-teo*(1+tcfo-incc)^(B122-mbfo),0),0),0)))</f>
        <v>0</v>
      </c>
      <c r="AY122" s="292" t="e">
        <f t="shared" si="90"/>
        <v>#DIV/0!</v>
      </c>
      <c r="AZ122" s="235" t="e">
        <f t="shared" si="126"/>
        <v>#DIV/0!</v>
      </c>
      <c r="BA122" s="269" t="e">
        <f t="shared" si="127"/>
        <v>#DIV/0!</v>
      </c>
      <c r="BB122" s="292" t="e">
        <f t="shared" si="128"/>
        <v>#DIV/0!</v>
      </c>
      <c r="BC122" s="238" t="e">
        <f>IF(SUM($BC$13:BC121)&gt;0,0,IF(BB122&gt;0,B122,0))</f>
        <v>#DIV/0!</v>
      </c>
      <c r="BD122" s="292" t="e">
        <f>IF(BB122+SUM($BD$12:BD121)&gt;=0,0,-BB122-SUM($BD$12:BD121))</f>
        <v>#DIV/0!</v>
      </c>
      <c r="BE122" s="235" t="e">
        <f>BB122+SUM($BD$12:BD122)</f>
        <v>#DIV/0!</v>
      </c>
      <c r="BF122" s="292" t="e">
        <f>-MIN(BE122:$BE$501)-SUM(BF$12:$BF121)</f>
        <v>#DIV/0!</v>
      </c>
      <c r="BG122" s="235" t="e">
        <f t="shared" si="93"/>
        <v>#DIV/0!</v>
      </c>
    </row>
    <row r="123" spans="2:59">
      <c r="B123" s="120">
        <v>110</v>
      </c>
      <c r="C123" s="241">
        <f t="shared" si="92"/>
        <v>46027</v>
      </c>
      <c r="D123" s="229">
        <f t="shared" si="94"/>
        <v>1</v>
      </c>
      <c r="E123" s="230" t="str">
        <f t="shared" si="95"/>
        <v>-</v>
      </c>
      <c r="F123" s="231">
        <f t="shared" si="96"/>
        <v>0</v>
      </c>
      <c r="G123" s="231">
        <f t="shared" si="97"/>
        <v>0</v>
      </c>
      <c r="H123" s="231">
        <f t="shared" si="98"/>
        <v>0</v>
      </c>
      <c r="I123" s="268">
        <f t="shared" si="83"/>
        <v>0</v>
      </c>
      <c r="J123" s="269">
        <f t="shared" si="99"/>
        <v>0</v>
      </c>
      <c r="K123" s="269">
        <f t="shared" si="100"/>
        <v>0</v>
      </c>
      <c r="L123" s="269">
        <f t="shared" si="84"/>
        <v>0</v>
      </c>
      <c r="M123" s="269">
        <f t="shared" si="85"/>
        <v>0</v>
      </c>
      <c r="N123" s="233">
        <f>VLOOKUP(B123,Dados!$L$86:$P$90,5)</f>
        <v>0</v>
      </c>
      <c r="O123" s="270">
        <f t="shared" si="101"/>
        <v>0.99999999999999989</v>
      </c>
      <c r="P123" s="269">
        <f t="shared" si="102"/>
        <v>0</v>
      </c>
      <c r="Q123" s="269" t="e">
        <f t="shared" si="103"/>
        <v>#DIV/0!</v>
      </c>
      <c r="R123" s="269">
        <f t="shared" si="104"/>
        <v>0</v>
      </c>
      <c r="S123" s="269" t="e">
        <f t="shared" si="105"/>
        <v>#DIV/0!</v>
      </c>
      <c r="T123" s="269" t="e">
        <f t="shared" si="91"/>
        <v>#DIV/0!</v>
      </c>
      <c r="U123" s="234">
        <f t="shared" si="106"/>
        <v>0</v>
      </c>
      <c r="V123" s="232" t="e">
        <f t="shared" si="107"/>
        <v>#DIV/0!</v>
      </c>
      <c r="W123" s="269" t="e">
        <f t="shared" si="108"/>
        <v>#DIV/0!</v>
      </c>
      <c r="X123" s="235">
        <f t="shared" si="86"/>
        <v>0</v>
      </c>
      <c r="Y123" s="236">
        <f t="shared" si="109"/>
        <v>5</v>
      </c>
      <c r="Z123" s="236" t="e">
        <f t="shared" si="110"/>
        <v>#DIV/0!</v>
      </c>
      <c r="AA123" s="236">
        <f t="shared" si="111"/>
        <v>3</v>
      </c>
      <c r="AB123" s="236" t="e">
        <f t="shared" si="112"/>
        <v>#DIV/0!</v>
      </c>
      <c r="AC123" s="235">
        <f t="shared" si="113"/>
        <v>0</v>
      </c>
      <c r="AD123" s="235">
        <f t="shared" si="114"/>
        <v>0</v>
      </c>
      <c r="AE123" s="279">
        <f t="shared" si="115"/>
        <v>0</v>
      </c>
      <c r="AF123" s="232">
        <f t="shared" si="116"/>
        <v>0</v>
      </c>
      <c r="AG123" s="235">
        <f t="shared" si="117"/>
        <v>0</v>
      </c>
      <c r="AH123" s="269">
        <f t="shared" si="118"/>
        <v>0</v>
      </c>
      <c r="AI123" s="232">
        <f t="shared" si="119"/>
        <v>0</v>
      </c>
      <c r="AJ123" s="235">
        <f t="shared" si="120"/>
        <v>0</v>
      </c>
      <c r="AK123" s="269">
        <f t="shared" si="121"/>
        <v>0</v>
      </c>
      <c r="AL123" s="269">
        <f t="shared" si="87"/>
        <v>0</v>
      </c>
      <c r="AM123" s="281" t="e">
        <f>IF(B123&gt;=mpfo,pos*vvm*Dados!$E$122*(ntudv-SUM(U124:$U$301))-SUM($AM$13:AM122),0)</f>
        <v>#DIV/0!</v>
      </c>
      <c r="AN123" s="269" t="e">
        <f t="shared" si="122"/>
        <v>#DIV/0!</v>
      </c>
      <c r="AO123" s="232" t="e">
        <f t="shared" si="123"/>
        <v>#DIV/0!</v>
      </c>
      <c r="AP123" s="242" t="e">
        <f t="shared" si="124"/>
        <v>#DIV/0!</v>
      </c>
      <c r="AQ123" s="235" t="e">
        <f>IF(AP123+SUM($AQ$12:AQ122)&gt;=0,0,-AP123-SUM($AQ$12:AQ122))</f>
        <v>#DIV/0!</v>
      </c>
      <c r="AR123" s="235">
        <f>IF(SUM($N$13:N122)&gt;=pmo,IF(SUM(N122:$N$501)&gt;(1-pmo),B123,0),0)</f>
        <v>0</v>
      </c>
      <c r="AS123" s="235" t="e">
        <f>IF((SUM($U$13:$U122)/ntudv)&gt;=pmv,IF((SUM($U122:$U$501)/ntudv)&gt;(1-pmv),B123,0),0)</f>
        <v>#DIV/0!</v>
      </c>
      <c r="AT123" s="237" t="e">
        <f>IF(MAX(mmo,mmv)=mmo,IF(B123=AR123,(SUM(N$13:$N122)-pmo)/((1-VLOOKUP(MAX(mmo,mmv)-1,$B$13:$O$501,14))+(VLOOKUP(MAX(mmo,mmv)-1,$B$13:$O$501,14)-pmo)),N122/((1-VLOOKUP(MAX(mmo,mmv)-1,$B$13:$O$501,14)+(VLOOKUP(MAX(mmo,mmv)-1,$B$13:$O$501,14)-pmo)))),N122/(1-VLOOKUP(MAX(mmo,mmv)-2,$B$13:$O$501,14)))</f>
        <v>#DIV/0!</v>
      </c>
      <c r="AU123" s="101" t="e">
        <f t="shared" si="88"/>
        <v>#DIV/0!</v>
      </c>
      <c r="AV123" s="287" t="e">
        <f t="shared" si="89"/>
        <v>#DIV/0!</v>
      </c>
      <c r="AW123" s="235" t="e">
        <f t="shared" si="125"/>
        <v>#DIV/0!</v>
      </c>
      <c r="AX123" s="281">
        <f>IF(B123&gt;mpfo,0,IF(B123=mpfo,(vld-teo*(1+tcfo-incc)^(MAX(mmo,mmv)-mbfo))*-1,IF(SUM($N$13:N122)&gt;=pmo,IF(($V122/ntudv)&gt;=pmv,IF(B123=MAX(mmo,mmv),-teo*(1+tcfo-incc)^(B123-mbfo),0),0),0)))</f>
        <v>0</v>
      </c>
      <c r="AY123" s="292" t="e">
        <f t="shared" si="90"/>
        <v>#DIV/0!</v>
      </c>
      <c r="AZ123" s="235" t="e">
        <f t="shared" si="126"/>
        <v>#DIV/0!</v>
      </c>
      <c r="BA123" s="269" t="e">
        <f t="shared" si="127"/>
        <v>#DIV/0!</v>
      </c>
      <c r="BB123" s="292" t="e">
        <f t="shared" si="128"/>
        <v>#DIV/0!</v>
      </c>
      <c r="BC123" s="238" t="e">
        <f>IF(SUM($BC$13:BC122)&gt;0,0,IF(BB123&gt;0,B123,0))</f>
        <v>#DIV/0!</v>
      </c>
      <c r="BD123" s="292" t="e">
        <f>IF(BB123+SUM($BD$12:BD122)&gt;=0,0,-BB123-SUM($BD$12:BD122))</f>
        <v>#DIV/0!</v>
      </c>
      <c r="BE123" s="235" t="e">
        <f>BB123+SUM($BD$12:BD123)</f>
        <v>#DIV/0!</v>
      </c>
      <c r="BF123" s="292" t="e">
        <f>-MIN(BE123:$BE$501)-SUM(BF$12:$BF122)</f>
        <v>#DIV/0!</v>
      </c>
      <c r="BG123" s="235" t="e">
        <f t="shared" si="93"/>
        <v>#DIV/0!</v>
      </c>
    </row>
    <row r="124" spans="2:59">
      <c r="B124" s="246">
        <v>111</v>
      </c>
      <c r="C124" s="241">
        <f t="shared" si="92"/>
        <v>46058</v>
      </c>
      <c r="D124" s="229">
        <f t="shared" si="94"/>
        <v>2</v>
      </c>
      <c r="E124" s="230" t="str">
        <f t="shared" si="95"/>
        <v>-</v>
      </c>
      <c r="F124" s="231">
        <f t="shared" si="96"/>
        <v>0</v>
      </c>
      <c r="G124" s="231">
        <f t="shared" si="97"/>
        <v>0</v>
      </c>
      <c r="H124" s="231">
        <f t="shared" si="98"/>
        <v>0</v>
      </c>
      <c r="I124" s="268">
        <f t="shared" si="83"/>
        <v>0</v>
      </c>
      <c r="J124" s="269">
        <f t="shared" si="99"/>
        <v>0</v>
      </c>
      <c r="K124" s="269">
        <f t="shared" si="100"/>
        <v>0</v>
      </c>
      <c r="L124" s="269">
        <f t="shared" si="84"/>
        <v>0</v>
      </c>
      <c r="M124" s="269">
        <f t="shared" si="85"/>
        <v>0</v>
      </c>
      <c r="N124" s="233">
        <f>VLOOKUP(B124,Dados!$L$86:$P$90,5)</f>
        <v>0</v>
      </c>
      <c r="O124" s="270">
        <f t="shared" si="101"/>
        <v>0.99999999999999989</v>
      </c>
      <c r="P124" s="269">
        <f t="shared" si="102"/>
        <v>0</v>
      </c>
      <c r="Q124" s="269" t="e">
        <f t="shared" si="103"/>
        <v>#DIV/0!</v>
      </c>
      <c r="R124" s="269">
        <f t="shared" si="104"/>
        <v>0</v>
      </c>
      <c r="S124" s="269" t="e">
        <f t="shared" si="105"/>
        <v>#DIV/0!</v>
      </c>
      <c r="T124" s="269" t="e">
        <f t="shared" si="91"/>
        <v>#DIV/0!</v>
      </c>
      <c r="U124" s="234">
        <f t="shared" si="106"/>
        <v>0</v>
      </c>
      <c r="V124" s="232" t="e">
        <f t="shared" si="107"/>
        <v>#DIV/0!</v>
      </c>
      <c r="W124" s="269" t="e">
        <f t="shared" si="108"/>
        <v>#DIV/0!</v>
      </c>
      <c r="X124" s="235">
        <f t="shared" si="86"/>
        <v>0</v>
      </c>
      <c r="Y124" s="236">
        <f t="shared" si="109"/>
        <v>5</v>
      </c>
      <c r="Z124" s="236" t="e">
        <f t="shared" si="110"/>
        <v>#DIV/0!</v>
      </c>
      <c r="AA124" s="236">
        <f t="shared" si="111"/>
        <v>3</v>
      </c>
      <c r="AB124" s="236" t="e">
        <f t="shared" si="112"/>
        <v>#DIV/0!</v>
      </c>
      <c r="AC124" s="235">
        <f t="shared" si="113"/>
        <v>0</v>
      </c>
      <c r="AD124" s="235">
        <f t="shared" si="114"/>
        <v>0</v>
      </c>
      <c r="AE124" s="279">
        <f t="shared" si="115"/>
        <v>0</v>
      </c>
      <c r="AF124" s="232">
        <f t="shared" si="116"/>
        <v>0</v>
      </c>
      <c r="AG124" s="235">
        <f t="shared" si="117"/>
        <v>0</v>
      </c>
      <c r="AH124" s="269">
        <f t="shared" si="118"/>
        <v>0</v>
      </c>
      <c r="AI124" s="232">
        <f t="shared" si="119"/>
        <v>0</v>
      </c>
      <c r="AJ124" s="235">
        <f t="shared" si="120"/>
        <v>0</v>
      </c>
      <c r="AK124" s="269">
        <f t="shared" si="121"/>
        <v>0</v>
      </c>
      <c r="AL124" s="269">
        <f t="shared" si="87"/>
        <v>0</v>
      </c>
      <c r="AM124" s="281" t="e">
        <f>IF(B124&gt;=mpfo,pos*vvm*Dados!$E$122*(ntudv-SUM(U125:$U$301))-SUM($AM$13:AM123),0)</f>
        <v>#DIV/0!</v>
      </c>
      <c r="AN124" s="269" t="e">
        <f t="shared" si="122"/>
        <v>#DIV/0!</v>
      </c>
      <c r="AO124" s="232" t="e">
        <f t="shared" si="123"/>
        <v>#DIV/0!</v>
      </c>
      <c r="AP124" s="242" t="e">
        <f t="shared" si="124"/>
        <v>#DIV/0!</v>
      </c>
      <c r="AQ124" s="235" t="e">
        <f>IF(AP124+SUM($AQ$12:AQ123)&gt;=0,0,-AP124-SUM($AQ$12:AQ123))</f>
        <v>#DIV/0!</v>
      </c>
      <c r="AR124" s="235">
        <f>IF(SUM($N$13:N123)&gt;=pmo,IF(SUM(N123:$N$501)&gt;(1-pmo),B124,0),0)</f>
        <v>0</v>
      </c>
      <c r="AS124" s="235" t="e">
        <f>IF((SUM($U$13:$U123)/ntudv)&gt;=pmv,IF((SUM($U123:$U$501)/ntudv)&gt;(1-pmv),B124,0),0)</f>
        <v>#DIV/0!</v>
      </c>
      <c r="AT124" s="237" t="e">
        <f>IF(MAX(mmo,mmv)=mmo,IF(B124=AR124,(SUM(N$13:$N123)-pmo)/((1-VLOOKUP(MAX(mmo,mmv)-1,$B$13:$O$501,14))+(VLOOKUP(MAX(mmo,mmv)-1,$B$13:$O$501,14)-pmo)),N123/((1-VLOOKUP(MAX(mmo,mmv)-1,$B$13:$O$501,14)+(VLOOKUP(MAX(mmo,mmv)-1,$B$13:$O$501,14)-pmo)))),N123/(1-VLOOKUP(MAX(mmo,mmv)-2,$B$13:$O$501,14)))</f>
        <v>#DIV/0!</v>
      </c>
      <c r="AU124" s="101" t="e">
        <f t="shared" si="88"/>
        <v>#DIV/0!</v>
      </c>
      <c r="AV124" s="287" t="e">
        <f t="shared" si="89"/>
        <v>#DIV/0!</v>
      </c>
      <c r="AW124" s="235" t="e">
        <f t="shared" si="125"/>
        <v>#DIV/0!</v>
      </c>
      <c r="AX124" s="281">
        <f>IF(B124&gt;mpfo,0,IF(B124=mpfo,(vld-teo*(1+tcfo-incc)^(MAX(mmo,mmv)-mbfo))*-1,IF(SUM($N$13:N123)&gt;=pmo,IF(($V123/ntudv)&gt;=pmv,IF(B124=MAX(mmo,mmv),-teo*(1+tcfo-incc)^(B124-mbfo),0),0),0)))</f>
        <v>0</v>
      </c>
      <c r="AY124" s="292" t="e">
        <f t="shared" si="90"/>
        <v>#DIV/0!</v>
      </c>
      <c r="AZ124" s="235" t="e">
        <f t="shared" si="126"/>
        <v>#DIV/0!</v>
      </c>
      <c r="BA124" s="269" t="e">
        <f t="shared" si="127"/>
        <v>#DIV/0!</v>
      </c>
      <c r="BB124" s="292" t="e">
        <f t="shared" si="128"/>
        <v>#DIV/0!</v>
      </c>
      <c r="BC124" s="238" t="e">
        <f>IF(SUM($BC$13:BC123)&gt;0,0,IF(BB124&gt;0,B124,0))</f>
        <v>#DIV/0!</v>
      </c>
      <c r="BD124" s="292" t="e">
        <f>IF(BB124+SUM($BD$12:BD123)&gt;=0,0,-BB124-SUM($BD$12:BD123))</f>
        <v>#DIV/0!</v>
      </c>
      <c r="BE124" s="235" t="e">
        <f>BB124+SUM($BD$12:BD124)</f>
        <v>#DIV/0!</v>
      </c>
      <c r="BF124" s="292" t="e">
        <f>-MIN(BE124:$BE$501)-SUM(BF$12:$BF123)</f>
        <v>#DIV/0!</v>
      </c>
      <c r="BG124" s="235" t="e">
        <f t="shared" si="93"/>
        <v>#DIV/0!</v>
      </c>
    </row>
    <row r="125" spans="2:59">
      <c r="B125" s="120">
        <v>112</v>
      </c>
      <c r="C125" s="241">
        <f t="shared" si="92"/>
        <v>46086</v>
      </c>
      <c r="D125" s="229">
        <f t="shared" si="94"/>
        <v>3</v>
      </c>
      <c r="E125" s="230" t="str">
        <f t="shared" si="95"/>
        <v>-</v>
      </c>
      <c r="F125" s="231">
        <f t="shared" si="96"/>
        <v>0</v>
      </c>
      <c r="G125" s="231">
        <f t="shared" si="97"/>
        <v>0</v>
      </c>
      <c r="H125" s="231">
        <f t="shared" si="98"/>
        <v>0</v>
      </c>
      <c r="I125" s="268">
        <f t="shared" si="83"/>
        <v>0</v>
      </c>
      <c r="J125" s="269">
        <f t="shared" si="99"/>
        <v>0</v>
      </c>
      <c r="K125" s="269">
        <f t="shared" si="100"/>
        <v>0</v>
      </c>
      <c r="L125" s="269">
        <f t="shared" si="84"/>
        <v>0</v>
      </c>
      <c r="M125" s="269">
        <f t="shared" si="85"/>
        <v>0</v>
      </c>
      <c r="N125" s="233">
        <f>VLOOKUP(B125,Dados!$L$86:$P$90,5)</f>
        <v>0</v>
      </c>
      <c r="O125" s="270">
        <f t="shared" si="101"/>
        <v>0.99999999999999989</v>
      </c>
      <c r="P125" s="269">
        <f t="shared" si="102"/>
        <v>0</v>
      </c>
      <c r="Q125" s="269" t="e">
        <f t="shared" si="103"/>
        <v>#DIV/0!</v>
      </c>
      <c r="R125" s="269">
        <f t="shared" si="104"/>
        <v>0</v>
      </c>
      <c r="S125" s="269" t="e">
        <f t="shared" si="105"/>
        <v>#DIV/0!</v>
      </c>
      <c r="T125" s="269" t="e">
        <f t="shared" si="91"/>
        <v>#DIV/0!</v>
      </c>
      <c r="U125" s="234">
        <f t="shared" si="106"/>
        <v>0</v>
      </c>
      <c r="V125" s="232" t="e">
        <f t="shared" si="107"/>
        <v>#DIV/0!</v>
      </c>
      <c r="W125" s="269" t="e">
        <f t="shared" si="108"/>
        <v>#DIV/0!</v>
      </c>
      <c r="X125" s="235">
        <f t="shared" si="86"/>
        <v>0</v>
      </c>
      <c r="Y125" s="236">
        <f t="shared" si="109"/>
        <v>5</v>
      </c>
      <c r="Z125" s="236" t="e">
        <f t="shared" si="110"/>
        <v>#DIV/0!</v>
      </c>
      <c r="AA125" s="236">
        <f t="shared" si="111"/>
        <v>3</v>
      </c>
      <c r="AB125" s="236" t="e">
        <f t="shared" si="112"/>
        <v>#DIV/0!</v>
      </c>
      <c r="AC125" s="235">
        <f t="shared" si="113"/>
        <v>0</v>
      </c>
      <c r="AD125" s="235">
        <f t="shared" si="114"/>
        <v>0</v>
      </c>
      <c r="AE125" s="279">
        <f t="shared" si="115"/>
        <v>0</v>
      </c>
      <c r="AF125" s="232">
        <f t="shared" si="116"/>
        <v>0</v>
      </c>
      <c r="AG125" s="235">
        <f t="shared" si="117"/>
        <v>0</v>
      </c>
      <c r="AH125" s="269">
        <f t="shared" si="118"/>
        <v>0</v>
      </c>
      <c r="AI125" s="232">
        <f t="shared" si="119"/>
        <v>0</v>
      </c>
      <c r="AJ125" s="235">
        <f t="shared" si="120"/>
        <v>0</v>
      </c>
      <c r="AK125" s="269">
        <f t="shared" si="121"/>
        <v>0</v>
      </c>
      <c r="AL125" s="269">
        <f t="shared" si="87"/>
        <v>0</v>
      </c>
      <c r="AM125" s="281" t="e">
        <f>IF(B125&gt;=mpfo,pos*vvm*Dados!$E$122*(ntudv-SUM(U126:$U$301))-SUM($AM$13:AM124),0)</f>
        <v>#DIV/0!</v>
      </c>
      <c r="AN125" s="269" t="e">
        <f t="shared" si="122"/>
        <v>#DIV/0!</v>
      </c>
      <c r="AO125" s="232" t="e">
        <f t="shared" si="123"/>
        <v>#DIV/0!</v>
      </c>
      <c r="AP125" s="242" t="e">
        <f t="shared" si="124"/>
        <v>#DIV/0!</v>
      </c>
      <c r="AQ125" s="235" t="e">
        <f>IF(AP125+SUM($AQ$12:AQ124)&gt;=0,0,-AP125-SUM($AQ$12:AQ124))</f>
        <v>#DIV/0!</v>
      </c>
      <c r="AR125" s="235">
        <f>IF(SUM($N$13:N124)&gt;=pmo,IF(SUM(N124:$N$501)&gt;(1-pmo),B125,0),0)</f>
        <v>0</v>
      </c>
      <c r="AS125" s="235" t="e">
        <f>IF((SUM($U$13:$U124)/ntudv)&gt;=pmv,IF((SUM($U124:$U$501)/ntudv)&gt;(1-pmv),B125,0),0)</f>
        <v>#DIV/0!</v>
      </c>
      <c r="AT125" s="237" t="e">
        <f>IF(MAX(mmo,mmv)=mmo,IF(B125=AR125,(SUM(N$13:$N124)-pmo)/((1-VLOOKUP(MAX(mmo,mmv)-1,$B$13:$O$501,14))+(VLOOKUP(MAX(mmo,mmv)-1,$B$13:$O$501,14)-pmo)),N124/((1-VLOOKUP(MAX(mmo,mmv)-1,$B$13:$O$501,14)+(VLOOKUP(MAX(mmo,mmv)-1,$B$13:$O$501,14)-pmo)))),N124/(1-VLOOKUP(MAX(mmo,mmv)-2,$B$13:$O$501,14)))</f>
        <v>#DIV/0!</v>
      </c>
      <c r="AU125" s="101" t="e">
        <f t="shared" si="88"/>
        <v>#DIV/0!</v>
      </c>
      <c r="AV125" s="287" t="e">
        <f t="shared" si="89"/>
        <v>#DIV/0!</v>
      </c>
      <c r="AW125" s="235" t="e">
        <f t="shared" si="125"/>
        <v>#DIV/0!</v>
      </c>
      <c r="AX125" s="281">
        <f>IF(B125&gt;mpfo,0,IF(B125=mpfo,(vld-teo*(1+tcfo-incc)^(MAX(mmo,mmv)-mbfo))*-1,IF(SUM($N$13:N124)&gt;=pmo,IF(($V124/ntudv)&gt;=pmv,IF(B125=MAX(mmo,mmv),-teo*(1+tcfo-incc)^(B125-mbfo),0),0),0)))</f>
        <v>0</v>
      </c>
      <c r="AY125" s="292" t="e">
        <f t="shared" si="90"/>
        <v>#DIV/0!</v>
      </c>
      <c r="AZ125" s="235" t="e">
        <f t="shared" si="126"/>
        <v>#DIV/0!</v>
      </c>
      <c r="BA125" s="269" t="e">
        <f t="shared" si="127"/>
        <v>#DIV/0!</v>
      </c>
      <c r="BB125" s="292" t="e">
        <f t="shared" si="128"/>
        <v>#DIV/0!</v>
      </c>
      <c r="BC125" s="238" t="e">
        <f>IF(SUM($BC$13:BC124)&gt;0,0,IF(BB125&gt;0,B125,0))</f>
        <v>#DIV/0!</v>
      </c>
      <c r="BD125" s="292" t="e">
        <f>IF(BB125+SUM($BD$12:BD124)&gt;=0,0,-BB125-SUM($BD$12:BD124))</f>
        <v>#DIV/0!</v>
      </c>
      <c r="BE125" s="235" t="e">
        <f>BB125+SUM($BD$12:BD125)</f>
        <v>#DIV/0!</v>
      </c>
      <c r="BF125" s="292" t="e">
        <f>-MIN(BE125:$BE$501)-SUM(BF$12:$BF124)</f>
        <v>#DIV/0!</v>
      </c>
      <c r="BG125" s="235" t="e">
        <f t="shared" si="93"/>
        <v>#DIV/0!</v>
      </c>
    </row>
    <row r="126" spans="2:59">
      <c r="B126" s="246">
        <v>113</v>
      </c>
      <c r="C126" s="241">
        <f t="shared" si="92"/>
        <v>46117</v>
      </c>
      <c r="D126" s="229">
        <f t="shared" si="94"/>
        <v>4</v>
      </c>
      <c r="E126" s="230" t="str">
        <f t="shared" si="95"/>
        <v>-</v>
      </c>
      <c r="F126" s="231">
        <f t="shared" si="96"/>
        <v>0</v>
      </c>
      <c r="G126" s="231">
        <f t="shared" si="97"/>
        <v>0</v>
      </c>
      <c r="H126" s="231">
        <f t="shared" si="98"/>
        <v>0</v>
      </c>
      <c r="I126" s="268">
        <f t="shared" si="83"/>
        <v>0</v>
      </c>
      <c r="J126" s="269">
        <f t="shared" si="99"/>
        <v>0</v>
      </c>
      <c r="K126" s="269">
        <f t="shared" si="100"/>
        <v>0</v>
      </c>
      <c r="L126" s="269">
        <f t="shared" si="84"/>
        <v>0</v>
      </c>
      <c r="M126" s="269">
        <f t="shared" si="85"/>
        <v>0</v>
      </c>
      <c r="N126" s="233">
        <f>VLOOKUP(B126,Dados!$L$86:$P$90,5)</f>
        <v>0</v>
      </c>
      <c r="O126" s="270">
        <f t="shared" si="101"/>
        <v>0.99999999999999989</v>
      </c>
      <c r="P126" s="269">
        <f t="shared" si="102"/>
        <v>0</v>
      </c>
      <c r="Q126" s="269" t="e">
        <f t="shared" si="103"/>
        <v>#DIV/0!</v>
      </c>
      <c r="R126" s="269">
        <f t="shared" si="104"/>
        <v>0</v>
      </c>
      <c r="S126" s="269" t="e">
        <f t="shared" si="105"/>
        <v>#DIV/0!</v>
      </c>
      <c r="T126" s="269" t="e">
        <f t="shared" si="91"/>
        <v>#DIV/0!</v>
      </c>
      <c r="U126" s="234">
        <f t="shared" si="106"/>
        <v>0</v>
      </c>
      <c r="V126" s="232" t="e">
        <f t="shared" si="107"/>
        <v>#DIV/0!</v>
      </c>
      <c r="W126" s="269" t="e">
        <f t="shared" si="108"/>
        <v>#DIV/0!</v>
      </c>
      <c r="X126" s="235">
        <f t="shared" si="86"/>
        <v>0</v>
      </c>
      <c r="Y126" s="236">
        <f t="shared" si="109"/>
        <v>5</v>
      </c>
      <c r="Z126" s="236" t="e">
        <f t="shared" si="110"/>
        <v>#DIV/0!</v>
      </c>
      <c r="AA126" s="236">
        <f t="shared" si="111"/>
        <v>3</v>
      </c>
      <c r="AB126" s="236" t="e">
        <f t="shared" si="112"/>
        <v>#DIV/0!</v>
      </c>
      <c r="AC126" s="235">
        <f t="shared" si="113"/>
        <v>0</v>
      </c>
      <c r="AD126" s="235">
        <f t="shared" si="114"/>
        <v>0</v>
      </c>
      <c r="AE126" s="279">
        <f t="shared" si="115"/>
        <v>0</v>
      </c>
      <c r="AF126" s="232">
        <f t="shared" si="116"/>
        <v>0</v>
      </c>
      <c r="AG126" s="235">
        <f t="shared" si="117"/>
        <v>0</v>
      </c>
      <c r="AH126" s="269">
        <f t="shared" si="118"/>
        <v>0</v>
      </c>
      <c r="AI126" s="232">
        <f t="shared" si="119"/>
        <v>0</v>
      </c>
      <c r="AJ126" s="235">
        <f t="shared" si="120"/>
        <v>0</v>
      </c>
      <c r="AK126" s="269">
        <f t="shared" si="121"/>
        <v>0</v>
      </c>
      <c r="AL126" s="269">
        <f t="shared" si="87"/>
        <v>0</v>
      </c>
      <c r="AM126" s="281" t="e">
        <f>IF(B126&gt;=mpfo,pos*vvm*Dados!$E$122*(ntudv-SUM(U127:$U$301))-SUM($AM$13:AM125),0)</f>
        <v>#DIV/0!</v>
      </c>
      <c r="AN126" s="269" t="e">
        <f t="shared" si="122"/>
        <v>#DIV/0!</v>
      </c>
      <c r="AO126" s="232" t="e">
        <f t="shared" si="123"/>
        <v>#DIV/0!</v>
      </c>
      <c r="AP126" s="242" t="e">
        <f t="shared" si="124"/>
        <v>#DIV/0!</v>
      </c>
      <c r="AQ126" s="235" t="e">
        <f>IF(AP126+SUM($AQ$12:AQ125)&gt;=0,0,-AP126-SUM($AQ$12:AQ125))</f>
        <v>#DIV/0!</v>
      </c>
      <c r="AR126" s="235">
        <f>IF(SUM($N$13:N125)&gt;=pmo,IF(SUM(N125:$N$501)&gt;(1-pmo),B126,0),0)</f>
        <v>0</v>
      </c>
      <c r="AS126" s="235" t="e">
        <f>IF((SUM($U$13:$U125)/ntudv)&gt;=pmv,IF((SUM($U125:$U$501)/ntudv)&gt;(1-pmv),B126,0),0)</f>
        <v>#DIV/0!</v>
      </c>
      <c r="AT126" s="237" t="e">
        <f>IF(MAX(mmo,mmv)=mmo,IF(B126=AR126,(SUM(N$13:$N125)-pmo)/((1-VLOOKUP(MAX(mmo,mmv)-1,$B$13:$O$501,14))+(VLOOKUP(MAX(mmo,mmv)-1,$B$13:$O$501,14)-pmo)),N125/((1-VLOOKUP(MAX(mmo,mmv)-1,$B$13:$O$501,14)+(VLOOKUP(MAX(mmo,mmv)-1,$B$13:$O$501,14)-pmo)))),N125/(1-VLOOKUP(MAX(mmo,mmv)-2,$B$13:$O$501,14)))</f>
        <v>#DIV/0!</v>
      </c>
      <c r="AU126" s="101" t="e">
        <f t="shared" si="88"/>
        <v>#DIV/0!</v>
      </c>
      <c r="AV126" s="287" t="e">
        <f t="shared" si="89"/>
        <v>#DIV/0!</v>
      </c>
      <c r="AW126" s="235" t="e">
        <f t="shared" si="125"/>
        <v>#DIV/0!</v>
      </c>
      <c r="AX126" s="281">
        <f>IF(B126&gt;mpfo,0,IF(B126=mpfo,(vld-teo*(1+tcfo-incc)^(MAX(mmo,mmv)-mbfo))*-1,IF(SUM($N$13:N125)&gt;=pmo,IF(($V125/ntudv)&gt;=pmv,IF(B126=MAX(mmo,mmv),-teo*(1+tcfo-incc)^(B126-mbfo),0),0),0)))</f>
        <v>0</v>
      </c>
      <c r="AY126" s="292" t="e">
        <f t="shared" si="90"/>
        <v>#DIV/0!</v>
      </c>
      <c r="AZ126" s="235" t="e">
        <f t="shared" si="126"/>
        <v>#DIV/0!</v>
      </c>
      <c r="BA126" s="269" t="e">
        <f t="shared" si="127"/>
        <v>#DIV/0!</v>
      </c>
      <c r="BB126" s="292" t="e">
        <f t="shared" si="128"/>
        <v>#DIV/0!</v>
      </c>
      <c r="BC126" s="238" t="e">
        <f>IF(SUM($BC$13:BC125)&gt;0,0,IF(BB126&gt;0,B126,0))</f>
        <v>#DIV/0!</v>
      </c>
      <c r="BD126" s="292" t="e">
        <f>IF(BB126+SUM($BD$12:BD125)&gt;=0,0,-BB126-SUM($BD$12:BD125))</f>
        <v>#DIV/0!</v>
      </c>
      <c r="BE126" s="235" t="e">
        <f>BB126+SUM($BD$12:BD126)</f>
        <v>#DIV/0!</v>
      </c>
      <c r="BF126" s="292" t="e">
        <f>-MIN(BE126:$BE$501)-SUM(BF$12:$BF125)</f>
        <v>#DIV/0!</v>
      </c>
      <c r="BG126" s="235" t="e">
        <f t="shared" si="93"/>
        <v>#DIV/0!</v>
      </c>
    </row>
    <row r="127" spans="2:59">
      <c r="B127" s="120">
        <v>114</v>
      </c>
      <c r="C127" s="241">
        <f t="shared" si="92"/>
        <v>46147</v>
      </c>
      <c r="D127" s="229">
        <f t="shared" si="94"/>
        <v>5</v>
      </c>
      <c r="E127" s="230" t="str">
        <f t="shared" si="95"/>
        <v>-</v>
      </c>
      <c r="F127" s="231">
        <f t="shared" si="96"/>
        <v>0</v>
      </c>
      <c r="G127" s="231">
        <f t="shared" si="97"/>
        <v>0</v>
      </c>
      <c r="H127" s="231">
        <f t="shared" si="98"/>
        <v>0</v>
      </c>
      <c r="I127" s="268">
        <f t="shared" si="83"/>
        <v>0</v>
      </c>
      <c r="J127" s="269">
        <f t="shared" si="99"/>
        <v>0</v>
      </c>
      <c r="K127" s="269">
        <f t="shared" si="100"/>
        <v>0</v>
      </c>
      <c r="L127" s="269">
        <f t="shared" si="84"/>
        <v>0</v>
      </c>
      <c r="M127" s="269">
        <f t="shared" si="85"/>
        <v>0</v>
      </c>
      <c r="N127" s="233">
        <f>VLOOKUP(B127,Dados!$L$86:$P$90,5)</f>
        <v>0</v>
      </c>
      <c r="O127" s="270">
        <f t="shared" si="101"/>
        <v>0.99999999999999989</v>
      </c>
      <c r="P127" s="269">
        <f t="shared" si="102"/>
        <v>0</v>
      </c>
      <c r="Q127" s="269" t="e">
        <f t="shared" si="103"/>
        <v>#DIV/0!</v>
      </c>
      <c r="R127" s="269">
        <f t="shared" si="104"/>
        <v>0</v>
      </c>
      <c r="S127" s="269" t="e">
        <f t="shared" si="105"/>
        <v>#DIV/0!</v>
      </c>
      <c r="T127" s="269" t="e">
        <f t="shared" si="91"/>
        <v>#DIV/0!</v>
      </c>
      <c r="U127" s="234">
        <f t="shared" si="106"/>
        <v>0</v>
      </c>
      <c r="V127" s="232" t="e">
        <f t="shared" si="107"/>
        <v>#DIV/0!</v>
      </c>
      <c r="W127" s="269" t="e">
        <f t="shared" si="108"/>
        <v>#DIV/0!</v>
      </c>
      <c r="X127" s="235">
        <f t="shared" si="86"/>
        <v>0</v>
      </c>
      <c r="Y127" s="236">
        <f t="shared" si="109"/>
        <v>5</v>
      </c>
      <c r="Z127" s="236" t="e">
        <f t="shared" si="110"/>
        <v>#DIV/0!</v>
      </c>
      <c r="AA127" s="236">
        <f t="shared" si="111"/>
        <v>3</v>
      </c>
      <c r="AB127" s="236" t="e">
        <f t="shared" si="112"/>
        <v>#DIV/0!</v>
      </c>
      <c r="AC127" s="235">
        <f t="shared" si="113"/>
        <v>0</v>
      </c>
      <c r="AD127" s="235">
        <f t="shared" si="114"/>
        <v>0</v>
      </c>
      <c r="AE127" s="279">
        <f t="shared" si="115"/>
        <v>0</v>
      </c>
      <c r="AF127" s="232">
        <f t="shared" si="116"/>
        <v>0</v>
      </c>
      <c r="AG127" s="235">
        <f t="shared" si="117"/>
        <v>0</v>
      </c>
      <c r="AH127" s="269">
        <f t="shared" si="118"/>
        <v>0</v>
      </c>
      <c r="AI127" s="232">
        <f t="shared" si="119"/>
        <v>0</v>
      </c>
      <c r="AJ127" s="235">
        <f t="shared" si="120"/>
        <v>0</v>
      </c>
      <c r="AK127" s="269">
        <f t="shared" si="121"/>
        <v>0</v>
      </c>
      <c r="AL127" s="269">
        <f t="shared" si="87"/>
        <v>0</v>
      </c>
      <c r="AM127" s="281" t="e">
        <f>IF(B127&gt;=mpfo,pos*vvm*Dados!$E$122*(ntudv-SUM(U128:$U$301))-SUM($AM$13:AM126),0)</f>
        <v>#DIV/0!</v>
      </c>
      <c r="AN127" s="269" t="e">
        <f t="shared" si="122"/>
        <v>#DIV/0!</v>
      </c>
      <c r="AO127" s="232" t="e">
        <f t="shared" si="123"/>
        <v>#DIV/0!</v>
      </c>
      <c r="AP127" s="242" t="e">
        <f t="shared" si="124"/>
        <v>#DIV/0!</v>
      </c>
      <c r="AQ127" s="235" t="e">
        <f>IF(AP127+SUM($AQ$12:AQ126)&gt;=0,0,-AP127-SUM($AQ$12:AQ126))</f>
        <v>#DIV/0!</v>
      </c>
      <c r="AR127" s="235">
        <f>IF(SUM($N$13:N126)&gt;=pmo,IF(SUM(N126:$N$501)&gt;(1-pmo),B127,0),0)</f>
        <v>0</v>
      </c>
      <c r="AS127" s="235" t="e">
        <f>IF((SUM($U$13:$U126)/ntudv)&gt;=pmv,IF((SUM($U126:$U$501)/ntudv)&gt;(1-pmv),B127,0),0)</f>
        <v>#DIV/0!</v>
      </c>
      <c r="AT127" s="237" t="e">
        <f>IF(MAX(mmo,mmv)=mmo,IF(B127=AR127,(SUM(N$13:$N126)-pmo)/((1-VLOOKUP(MAX(mmo,mmv)-1,$B$13:$O$501,14))+(VLOOKUP(MAX(mmo,mmv)-1,$B$13:$O$501,14)-pmo)),N126/((1-VLOOKUP(MAX(mmo,mmv)-1,$B$13:$O$501,14)+(VLOOKUP(MAX(mmo,mmv)-1,$B$13:$O$501,14)-pmo)))),N126/(1-VLOOKUP(MAX(mmo,mmv)-2,$B$13:$O$501,14)))</f>
        <v>#DIV/0!</v>
      </c>
      <c r="AU127" s="101" t="e">
        <f t="shared" si="88"/>
        <v>#DIV/0!</v>
      </c>
      <c r="AV127" s="287" t="e">
        <f t="shared" si="89"/>
        <v>#DIV/0!</v>
      </c>
      <c r="AW127" s="235" t="e">
        <f t="shared" si="125"/>
        <v>#DIV/0!</v>
      </c>
      <c r="AX127" s="281">
        <f>IF(B127&gt;mpfo,0,IF(B127=mpfo,(vld-teo*(1+tcfo-incc)^(MAX(mmo,mmv)-mbfo))*-1,IF(SUM($N$13:N126)&gt;=pmo,IF(($V126/ntudv)&gt;=pmv,IF(B127=MAX(mmo,mmv),-teo*(1+tcfo-incc)^(B127-mbfo),0),0),0)))</f>
        <v>0</v>
      </c>
      <c r="AY127" s="292" t="e">
        <f t="shared" si="90"/>
        <v>#DIV/0!</v>
      </c>
      <c r="AZ127" s="235" t="e">
        <f t="shared" si="126"/>
        <v>#DIV/0!</v>
      </c>
      <c r="BA127" s="269" t="e">
        <f t="shared" si="127"/>
        <v>#DIV/0!</v>
      </c>
      <c r="BB127" s="292" t="e">
        <f t="shared" si="128"/>
        <v>#DIV/0!</v>
      </c>
      <c r="BC127" s="238" t="e">
        <f>IF(SUM($BC$13:BC126)&gt;0,0,IF(BB127&gt;0,B127,0))</f>
        <v>#DIV/0!</v>
      </c>
      <c r="BD127" s="292" t="e">
        <f>IF(BB127+SUM($BD$12:BD126)&gt;=0,0,-BB127-SUM($BD$12:BD126))</f>
        <v>#DIV/0!</v>
      </c>
      <c r="BE127" s="235" t="e">
        <f>BB127+SUM($BD$12:BD127)</f>
        <v>#DIV/0!</v>
      </c>
      <c r="BF127" s="292" t="e">
        <f>-MIN(BE127:$BE$501)-SUM(BF$12:$BF126)</f>
        <v>#DIV/0!</v>
      </c>
      <c r="BG127" s="235" t="e">
        <f t="shared" si="93"/>
        <v>#DIV/0!</v>
      </c>
    </row>
    <row r="128" spans="2:59">
      <c r="B128" s="246">
        <v>115</v>
      </c>
      <c r="C128" s="241">
        <f t="shared" si="92"/>
        <v>46178</v>
      </c>
      <c r="D128" s="229">
        <f t="shared" si="94"/>
        <v>6</v>
      </c>
      <c r="E128" s="230" t="str">
        <f t="shared" si="95"/>
        <v>-</v>
      </c>
      <c r="F128" s="231">
        <f t="shared" si="96"/>
        <v>0</v>
      </c>
      <c r="G128" s="231">
        <f t="shared" si="97"/>
        <v>0</v>
      </c>
      <c r="H128" s="231">
        <f t="shared" si="98"/>
        <v>0</v>
      </c>
      <c r="I128" s="268">
        <f t="shared" si="83"/>
        <v>0</v>
      </c>
      <c r="J128" s="269">
        <f t="shared" si="99"/>
        <v>0</v>
      </c>
      <c r="K128" s="269">
        <f t="shared" si="100"/>
        <v>0</v>
      </c>
      <c r="L128" s="269">
        <f t="shared" si="84"/>
        <v>0</v>
      </c>
      <c r="M128" s="269">
        <f t="shared" si="85"/>
        <v>0</v>
      </c>
      <c r="N128" s="233">
        <f>VLOOKUP(B128,Dados!$L$86:$P$90,5)</f>
        <v>0</v>
      </c>
      <c r="O128" s="270">
        <f t="shared" si="101"/>
        <v>0.99999999999999989</v>
      </c>
      <c r="P128" s="269">
        <f t="shared" si="102"/>
        <v>0</v>
      </c>
      <c r="Q128" s="269" t="e">
        <f t="shared" si="103"/>
        <v>#DIV/0!</v>
      </c>
      <c r="R128" s="269">
        <f t="shared" si="104"/>
        <v>0</v>
      </c>
      <c r="S128" s="269" t="e">
        <f t="shared" si="105"/>
        <v>#DIV/0!</v>
      </c>
      <c r="T128" s="269" t="e">
        <f t="shared" si="91"/>
        <v>#DIV/0!</v>
      </c>
      <c r="U128" s="234">
        <f t="shared" si="106"/>
        <v>0</v>
      </c>
      <c r="V128" s="232" t="e">
        <f t="shared" si="107"/>
        <v>#DIV/0!</v>
      </c>
      <c r="W128" s="269" t="e">
        <f t="shared" si="108"/>
        <v>#DIV/0!</v>
      </c>
      <c r="X128" s="235">
        <f t="shared" si="86"/>
        <v>0</v>
      </c>
      <c r="Y128" s="236">
        <f t="shared" si="109"/>
        <v>5</v>
      </c>
      <c r="Z128" s="236" t="e">
        <f t="shared" si="110"/>
        <v>#DIV/0!</v>
      </c>
      <c r="AA128" s="236">
        <f t="shared" si="111"/>
        <v>3</v>
      </c>
      <c r="AB128" s="236" t="e">
        <f t="shared" si="112"/>
        <v>#DIV/0!</v>
      </c>
      <c r="AC128" s="235">
        <f t="shared" si="113"/>
        <v>0</v>
      </c>
      <c r="AD128" s="235">
        <f t="shared" si="114"/>
        <v>0</v>
      </c>
      <c r="AE128" s="279">
        <f t="shared" si="115"/>
        <v>0</v>
      </c>
      <c r="AF128" s="232">
        <f t="shared" si="116"/>
        <v>1</v>
      </c>
      <c r="AG128" s="235">
        <f t="shared" si="117"/>
        <v>0</v>
      </c>
      <c r="AH128" s="269">
        <f t="shared" si="118"/>
        <v>0</v>
      </c>
      <c r="AI128" s="232">
        <f t="shared" si="119"/>
        <v>0</v>
      </c>
      <c r="AJ128" s="235">
        <f t="shared" si="120"/>
        <v>0</v>
      </c>
      <c r="AK128" s="269">
        <f t="shared" si="121"/>
        <v>0</v>
      </c>
      <c r="AL128" s="269">
        <f t="shared" si="87"/>
        <v>0</v>
      </c>
      <c r="AM128" s="281" t="e">
        <f>IF(B128&gt;=mpfo,pos*vvm*Dados!$E$122*(ntudv-SUM(U129:$U$301))-SUM($AM$13:AM127),0)</f>
        <v>#DIV/0!</v>
      </c>
      <c r="AN128" s="269" t="e">
        <f t="shared" si="122"/>
        <v>#DIV/0!</v>
      </c>
      <c r="AO128" s="232" t="e">
        <f t="shared" si="123"/>
        <v>#DIV/0!</v>
      </c>
      <c r="AP128" s="242" t="e">
        <f t="shared" si="124"/>
        <v>#DIV/0!</v>
      </c>
      <c r="AQ128" s="235" t="e">
        <f>IF(AP128+SUM($AQ$12:AQ127)&gt;=0,0,-AP128-SUM($AQ$12:AQ127))</f>
        <v>#DIV/0!</v>
      </c>
      <c r="AR128" s="235">
        <f>IF(SUM($N$13:N127)&gt;=pmo,IF(SUM(N127:$N$501)&gt;(1-pmo),B128,0),0)</f>
        <v>0</v>
      </c>
      <c r="AS128" s="235" t="e">
        <f>IF((SUM($U$13:$U127)/ntudv)&gt;=pmv,IF((SUM($U127:$U$501)/ntudv)&gt;(1-pmv),B128,0),0)</f>
        <v>#DIV/0!</v>
      </c>
      <c r="AT128" s="237" t="e">
        <f>IF(MAX(mmo,mmv)=mmo,IF(B128=AR128,(SUM(N$13:$N127)-pmo)/((1-VLOOKUP(MAX(mmo,mmv)-1,$B$13:$O$501,14))+(VLOOKUP(MAX(mmo,mmv)-1,$B$13:$O$501,14)-pmo)),N127/((1-VLOOKUP(MAX(mmo,mmv)-1,$B$13:$O$501,14)+(VLOOKUP(MAX(mmo,mmv)-1,$B$13:$O$501,14)-pmo)))),N127/(1-VLOOKUP(MAX(mmo,mmv)-2,$B$13:$O$501,14)))</f>
        <v>#DIV/0!</v>
      </c>
      <c r="AU128" s="101" t="e">
        <f t="shared" si="88"/>
        <v>#DIV/0!</v>
      </c>
      <c r="AV128" s="287" t="e">
        <f t="shared" si="89"/>
        <v>#DIV/0!</v>
      </c>
      <c r="AW128" s="235" t="e">
        <f t="shared" si="125"/>
        <v>#DIV/0!</v>
      </c>
      <c r="AX128" s="281">
        <f>IF(B128&gt;mpfo,0,IF(B128=mpfo,(vld-teo*(1+tcfo-incc)^(MAX(mmo,mmv)-mbfo))*-1,IF(SUM($N$13:N127)&gt;=pmo,IF(($V127/ntudv)&gt;=pmv,IF(B128=MAX(mmo,mmv),-teo*(1+tcfo-incc)^(B128-mbfo),0),0),0)))</f>
        <v>0</v>
      </c>
      <c r="AY128" s="292" t="e">
        <f t="shared" si="90"/>
        <v>#DIV/0!</v>
      </c>
      <c r="AZ128" s="235" t="e">
        <f t="shared" si="126"/>
        <v>#DIV/0!</v>
      </c>
      <c r="BA128" s="269" t="e">
        <f t="shared" si="127"/>
        <v>#DIV/0!</v>
      </c>
      <c r="BB128" s="292" t="e">
        <f t="shared" si="128"/>
        <v>#DIV/0!</v>
      </c>
      <c r="BC128" s="238" t="e">
        <f>IF(SUM($BC$13:BC127)&gt;0,0,IF(BB128&gt;0,B128,0))</f>
        <v>#DIV/0!</v>
      </c>
      <c r="BD128" s="292" t="e">
        <f>IF(BB128+SUM($BD$12:BD127)&gt;=0,0,-BB128-SUM($BD$12:BD127))</f>
        <v>#DIV/0!</v>
      </c>
      <c r="BE128" s="235" t="e">
        <f>BB128+SUM($BD$12:BD128)</f>
        <v>#DIV/0!</v>
      </c>
      <c r="BF128" s="292" t="e">
        <f>-MIN(BE128:$BE$501)-SUM(BF$12:$BF127)</f>
        <v>#DIV/0!</v>
      </c>
      <c r="BG128" s="235" t="e">
        <f t="shared" si="93"/>
        <v>#DIV/0!</v>
      </c>
    </row>
    <row r="129" spans="2:59">
      <c r="B129" s="120">
        <v>116</v>
      </c>
      <c r="C129" s="241">
        <f t="shared" si="92"/>
        <v>46208</v>
      </c>
      <c r="D129" s="229">
        <f t="shared" si="94"/>
        <v>7</v>
      </c>
      <c r="E129" s="230" t="str">
        <f t="shared" si="95"/>
        <v>-</v>
      </c>
      <c r="F129" s="231">
        <f t="shared" si="96"/>
        <v>0</v>
      </c>
      <c r="G129" s="231">
        <f t="shared" si="97"/>
        <v>0</v>
      </c>
      <c r="H129" s="231">
        <f t="shared" si="98"/>
        <v>0</v>
      </c>
      <c r="I129" s="268">
        <f t="shared" si="83"/>
        <v>0</v>
      </c>
      <c r="J129" s="269">
        <f t="shared" si="99"/>
        <v>0</v>
      </c>
      <c r="K129" s="269">
        <f t="shared" si="100"/>
        <v>0</v>
      </c>
      <c r="L129" s="269">
        <f t="shared" si="84"/>
        <v>0</v>
      </c>
      <c r="M129" s="269">
        <f t="shared" si="85"/>
        <v>0</v>
      </c>
      <c r="N129" s="233">
        <f>VLOOKUP(B129,Dados!$L$86:$P$90,5)</f>
        <v>0</v>
      </c>
      <c r="O129" s="270">
        <f t="shared" si="101"/>
        <v>0.99999999999999989</v>
      </c>
      <c r="P129" s="269">
        <f t="shared" si="102"/>
        <v>0</v>
      </c>
      <c r="Q129" s="269" t="e">
        <f t="shared" si="103"/>
        <v>#DIV/0!</v>
      </c>
      <c r="R129" s="269">
        <f t="shared" si="104"/>
        <v>0</v>
      </c>
      <c r="S129" s="269" t="e">
        <f t="shared" si="105"/>
        <v>#DIV/0!</v>
      </c>
      <c r="T129" s="269" t="e">
        <f t="shared" si="91"/>
        <v>#DIV/0!</v>
      </c>
      <c r="U129" s="234">
        <f t="shared" si="106"/>
        <v>0</v>
      </c>
      <c r="V129" s="232" t="e">
        <f t="shared" si="107"/>
        <v>#DIV/0!</v>
      </c>
      <c r="W129" s="269" t="e">
        <f t="shared" si="108"/>
        <v>#DIV/0!</v>
      </c>
      <c r="X129" s="235">
        <f t="shared" si="86"/>
        <v>0</v>
      </c>
      <c r="Y129" s="236">
        <f t="shared" si="109"/>
        <v>5</v>
      </c>
      <c r="Z129" s="236" t="e">
        <f t="shared" si="110"/>
        <v>#DIV/0!</v>
      </c>
      <c r="AA129" s="236">
        <f t="shared" si="111"/>
        <v>3</v>
      </c>
      <c r="AB129" s="236" t="e">
        <f t="shared" si="112"/>
        <v>#DIV/0!</v>
      </c>
      <c r="AC129" s="235">
        <f t="shared" si="113"/>
        <v>0</v>
      </c>
      <c r="AD129" s="235">
        <f t="shared" si="114"/>
        <v>0</v>
      </c>
      <c r="AE129" s="279">
        <f t="shared" si="115"/>
        <v>0</v>
      </c>
      <c r="AF129" s="232">
        <f t="shared" si="116"/>
        <v>0</v>
      </c>
      <c r="AG129" s="235">
        <f t="shared" si="117"/>
        <v>0</v>
      </c>
      <c r="AH129" s="269">
        <f t="shared" si="118"/>
        <v>0</v>
      </c>
      <c r="AI129" s="232">
        <f t="shared" si="119"/>
        <v>0</v>
      </c>
      <c r="AJ129" s="235">
        <f t="shared" si="120"/>
        <v>0</v>
      </c>
      <c r="AK129" s="269">
        <f t="shared" si="121"/>
        <v>0</v>
      </c>
      <c r="AL129" s="269">
        <f t="shared" si="87"/>
        <v>0</v>
      </c>
      <c r="AM129" s="281" t="e">
        <f>IF(B129&gt;=mpfo,pos*vvm*Dados!$E$122*(ntudv-SUM(U130:$U$301))-SUM($AM$13:AM128),0)</f>
        <v>#DIV/0!</v>
      </c>
      <c r="AN129" s="269" t="e">
        <f t="shared" si="122"/>
        <v>#DIV/0!</v>
      </c>
      <c r="AO129" s="232" t="e">
        <f t="shared" si="123"/>
        <v>#DIV/0!</v>
      </c>
      <c r="AP129" s="242" t="e">
        <f t="shared" si="124"/>
        <v>#DIV/0!</v>
      </c>
      <c r="AQ129" s="235" t="e">
        <f>IF(AP129+SUM($AQ$12:AQ128)&gt;=0,0,-AP129-SUM($AQ$12:AQ128))</f>
        <v>#DIV/0!</v>
      </c>
      <c r="AR129" s="235">
        <f>IF(SUM($N$13:N128)&gt;=pmo,IF(SUM(N128:$N$501)&gt;(1-pmo),B129,0),0)</f>
        <v>0</v>
      </c>
      <c r="AS129" s="235" t="e">
        <f>IF((SUM($U$13:$U128)/ntudv)&gt;=pmv,IF((SUM($U128:$U$501)/ntudv)&gt;(1-pmv),B129,0),0)</f>
        <v>#DIV/0!</v>
      </c>
      <c r="AT129" s="237" t="e">
        <f>IF(MAX(mmo,mmv)=mmo,IF(B129=AR129,(SUM(N$13:$N128)-pmo)/((1-VLOOKUP(MAX(mmo,mmv)-1,$B$13:$O$501,14))+(VLOOKUP(MAX(mmo,mmv)-1,$B$13:$O$501,14)-pmo)),N128/((1-VLOOKUP(MAX(mmo,mmv)-1,$B$13:$O$501,14)+(VLOOKUP(MAX(mmo,mmv)-1,$B$13:$O$501,14)-pmo)))),N128/(1-VLOOKUP(MAX(mmo,mmv)-2,$B$13:$O$501,14)))</f>
        <v>#DIV/0!</v>
      </c>
      <c r="AU129" s="101" t="e">
        <f t="shared" si="88"/>
        <v>#DIV/0!</v>
      </c>
      <c r="AV129" s="287" t="e">
        <f t="shared" si="89"/>
        <v>#DIV/0!</v>
      </c>
      <c r="AW129" s="235" t="e">
        <f t="shared" si="125"/>
        <v>#DIV/0!</v>
      </c>
      <c r="AX129" s="281">
        <f>IF(B129&gt;mpfo,0,IF(B129=mpfo,(vld-teo*(1+tcfo-incc)^(MAX(mmo,mmv)-mbfo))*-1,IF(SUM($N$13:N128)&gt;=pmo,IF(($V128/ntudv)&gt;=pmv,IF(B129=MAX(mmo,mmv),-teo*(1+tcfo-incc)^(B129-mbfo),0),0),0)))</f>
        <v>0</v>
      </c>
      <c r="AY129" s="292" t="e">
        <f t="shared" si="90"/>
        <v>#DIV/0!</v>
      </c>
      <c r="AZ129" s="235" t="e">
        <f t="shared" si="126"/>
        <v>#DIV/0!</v>
      </c>
      <c r="BA129" s="269" t="e">
        <f t="shared" si="127"/>
        <v>#DIV/0!</v>
      </c>
      <c r="BB129" s="292" t="e">
        <f t="shared" si="128"/>
        <v>#DIV/0!</v>
      </c>
      <c r="BC129" s="238" t="e">
        <f>IF(SUM($BC$13:BC128)&gt;0,0,IF(BB129&gt;0,B129,0))</f>
        <v>#DIV/0!</v>
      </c>
      <c r="BD129" s="292" t="e">
        <f>IF(BB129+SUM($BD$12:BD128)&gt;=0,0,-BB129-SUM($BD$12:BD128))</f>
        <v>#DIV/0!</v>
      </c>
      <c r="BE129" s="235" t="e">
        <f>BB129+SUM($BD$12:BD129)</f>
        <v>#DIV/0!</v>
      </c>
      <c r="BF129" s="292" t="e">
        <f>-MIN(BE129:$BE$501)-SUM(BF$12:$BF128)</f>
        <v>#DIV/0!</v>
      </c>
      <c r="BG129" s="235" t="e">
        <f t="shared" si="93"/>
        <v>#DIV/0!</v>
      </c>
    </row>
    <row r="130" spans="2:59">
      <c r="B130" s="246">
        <v>117</v>
      </c>
      <c r="C130" s="241">
        <f t="shared" si="92"/>
        <v>46239</v>
      </c>
      <c r="D130" s="229">
        <f t="shared" si="94"/>
        <v>8</v>
      </c>
      <c r="E130" s="230" t="str">
        <f t="shared" si="95"/>
        <v>-</v>
      </c>
      <c r="F130" s="231">
        <f t="shared" si="96"/>
        <v>0</v>
      </c>
      <c r="G130" s="231">
        <f t="shared" si="97"/>
        <v>0</v>
      </c>
      <c r="H130" s="231">
        <f t="shared" si="98"/>
        <v>0</v>
      </c>
      <c r="I130" s="268">
        <f t="shared" si="83"/>
        <v>0</v>
      </c>
      <c r="J130" s="269">
        <f t="shared" si="99"/>
        <v>0</v>
      </c>
      <c r="K130" s="269">
        <f t="shared" si="100"/>
        <v>0</v>
      </c>
      <c r="L130" s="269">
        <f t="shared" si="84"/>
        <v>0</v>
      </c>
      <c r="M130" s="269">
        <f t="shared" si="85"/>
        <v>0</v>
      </c>
      <c r="N130" s="233">
        <f>VLOOKUP(B130,Dados!$L$86:$P$90,5)</f>
        <v>0</v>
      </c>
      <c r="O130" s="270">
        <f t="shared" si="101"/>
        <v>0.99999999999999989</v>
      </c>
      <c r="P130" s="269">
        <f t="shared" si="102"/>
        <v>0</v>
      </c>
      <c r="Q130" s="269" t="e">
        <f t="shared" si="103"/>
        <v>#DIV/0!</v>
      </c>
      <c r="R130" s="269">
        <f t="shared" si="104"/>
        <v>0</v>
      </c>
      <c r="S130" s="269" t="e">
        <f t="shared" si="105"/>
        <v>#DIV/0!</v>
      </c>
      <c r="T130" s="269" t="e">
        <f t="shared" si="91"/>
        <v>#DIV/0!</v>
      </c>
      <c r="U130" s="234">
        <f t="shared" si="106"/>
        <v>0</v>
      </c>
      <c r="V130" s="232" t="e">
        <f t="shared" si="107"/>
        <v>#DIV/0!</v>
      </c>
      <c r="W130" s="269" t="e">
        <f t="shared" si="108"/>
        <v>#DIV/0!</v>
      </c>
      <c r="X130" s="235">
        <f t="shared" si="86"/>
        <v>0</v>
      </c>
      <c r="Y130" s="236">
        <f t="shared" si="109"/>
        <v>5</v>
      </c>
      <c r="Z130" s="236" t="e">
        <f t="shared" si="110"/>
        <v>#DIV/0!</v>
      </c>
      <c r="AA130" s="236">
        <f t="shared" si="111"/>
        <v>3</v>
      </c>
      <c r="AB130" s="236" t="e">
        <f t="shared" si="112"/>
        <v>#DIV/0!</v>
      </c>
      <c r="AC130" s="235">
        <f t="shared" si="113"/>
        <v>0</v>
      </c>
      <c r="AD130" s="235">
        <f t="shared" si="114"/>
        <v>0</v>
      </c>
      <c r="AE130" s="279">
        <f t="shared" si="115"/>
        <v>0</v>
      </c>
      <c r="AF130" s="232">
        <f t="shared" si="116"/>
        <v>0</v>
      </c>
      <c r="AG130" s="235">
        <f t="shared" si="117"/>
        <v>0</v>
      </c>
      <c r="AH130" s="269">
        <f t="shared" si="118"/>
        <v>0</v>
      </c>
      <c r="AI130" s="232">
        <f t="shared" si="119"/>
        <v>0</v>
      </c>
      <c r="AJ130" s="235">
        <f t="shared" si="120"/>
        <v>0</v>
      </c>
      <c r="AK130" s="269">
        <f t="shared" si="121"/>
        <v>0</v>
      </c>
      <c r="AL130" s="269">
        <f t="shared" si="87"/>
        <v>0</v>
      </c>
      <c r="AM130" s="281" t="e">
        <f>IF(B130&gt;=mpfo,pos*vvm*Dados!$E$122*(ntudv-SUM(U131:$U$301))-SUM($AM$13:AM129),0)</f>
        <v>#DIV/0!</v>
      </c>
      <c r="AN130" s="269" t="e">
        <f t="shared" si="122"/>
        <v>#DIV/0!</v>
      </c>
      <c r="AO130" s="232" t="e">
        <f t="shared" si="123"/>
        <v>#DIV/0!</v>
      </c>
      <c r="AP130" s="242" t="e">
        <f t="shared" si="124"/>
        <v>#DIV/0!</v>
      </c>
      <c r="AQ130" s="235" t="e">
        <f>IF(AP130+SUM($AQ$12:AQ129)&gt;=0,0,-AP130-SUM($AQ$12:AQ129))</f>
        <v>#DIV/0!</v>
      </c>
      <c r="AR130" s="235">
        <f>IF(SUM($N$13:N129)&gt;=pmo,IF(SUM(N129:$N$501)&gt;(1-pmo),B130,0),0)</f>
        <v>0</v>
      </c>
      <c r="AS130" s="235" t="e">
        <f>IF((SUM($U$13:$U129)/ntudv)&gt;=pmv,IF((SUM($U129:$U$501)/ntudv)&gt;(1-pmv),B130,0),0)</f>
        <v>#DIV/0!</v>
      </c>
      <c r="AT130" s="237" t="e">
        <f>IF(MAX(mmo,mmv)=mmo,IF(B130=AR130,(SUM(N$13:$N129)-pmo)/((1-VLOOKUP(MAX(mmo,mmv)-1,$B$13:$O$501,14))+(VLOOKUP(MAX(mmo,mmv)-1,$B$13:$O$501,14)-pmo)),N129/((1-VLOOKUP(MAX(mmo,mmv)-1,$B$13:$O$501,14)+(VLOOKUP(MAX(mmo,mmv)-1,$B$13:$O$501,14)-pmo)))),N129/(1-VLOOKUP(MAX(mmo,mmv)-2,$B$13:$O$501,14)))</f>
        <v>#DIV/0!</v>
      </c>
      <c r="AU130" s="101" t="e">
        <f t="shared" si="88"/>
        <v>#DIV/0!</v>
      </c>
      <c r="AV130" s="287" t="e">
        <f t="shared" si="89"/>
        <v>#DIV/0!</v>
      </c>
      <c r="AW130" s="235" t="e">
        <f t="shared" si="125"/>
        <v>#DIV/0!</v>
      </c>
      <c r="AX130" s="281">
        <f>IF(B130&gt;mpfo,0,IF(B130=mpfo,(vld-teo*(1+tcfo-incc)^(MAX(mmo,mmv)-mbfo))*-1,IF(SUM($N$13:N129)&gt;=pmo,IF(($V129/ntudv)&gt;=pmv,IF(B130=MAX(mmo,mmv),-teo*(1+tcfo-incc)^(B130-mbfo),0),0),0)))</f>
        <v>0</v>
      </c>
      <c r="AY130" s="292" t="e">
        <f t="shared" si="90"/>
        <v>#DIV/0!</v>
      </c>
      <c r="AZ130" s="235" t="e">
        <f t="shared" si="126"/>
        <v>#DIV/0!</v>
      </c>
      <c r="BA130" s="269" t="e">
        <f t="shared" si="127"/>
        <v>#DIV/0!</v>
      </c>
      <c r="BB130" s="292" t="e">
        <f t="shared" si="128"/>
        <v>#DIV/0!</v>
      </c>
      <c r="BC130" s="238" t="e">
        <f>IF(SUM($BC$13:BC129)&gt;0,0,IF(BB130&gt;0,B130,0))</f>
        <v>#DIV/0!</v>
      </c>
      <c r="BD130" s="292" t="e">
        <f>IF(BB130+SUM($BD$12:BD129)&gt;=0,0,-BB130-SUM($BD$12:BD129))</f>
        <v>#DIV/0!</v>
      </c>
      <c r="BE130" s="235" t="e">
        <f>BB130+SUM($BD$12:BD130)</f>
        <v>#DIV/0!</v>
      </c>
      <c r="BF130" s="292" t="e">
        <f>-MIN(BE130:$BE$501)-SUM(BF$12:$BF129)</f>
        <v>#DIV/0!</v>
      </c>
      <c r="BG130" s="235" t="e">
        <f t="shared" si="93"/>
        <v>#DIV/0!</v>
      </c>
    </row>
    <row r="131" spans="2:59">
      <c r="B131" s="120">
        <v>118</v>
      </c>
      <c r="C131" s="241">
        <f t="shared" si="92"/>
        <v>46270</v>
      </c>
      <c r="D131" s="229">
        <f t="shared" si="94"/>
        <v>9</v>
      </c>
      <c r="E131" s="230" t="str">
        <f t="shared" si="95"/>
        <v>-</v>
      </c>
      <c r="F131" s="231">
        <f t="shared" si="96"/>
        <v>0</v>
      </c>
      <c r="G131" s="231">
        <f t="shared" si="97"/>
        <v>0</v>
      </c>
      <c r="H131" s="231">
        <f t="shared" si="98"/>
        <v>0</v>
      </c>
      <c r="I131" s="268">
        <f t="shared" si="83"/>
        <v>0</v>
      </c>
      <c r="J131" s="269">
        <f t="shared" si="99"/>
        <v>0</v>
      </c>
      <c r="K131" s="269">
        <f t="shared" si="100"/>
        <v>0</v>
      </c>
      <c r="L131" s="269">
        <f t="shared" si="84"/>
        <v>0</v>
      </c>
      <c r="M131" s="269">
        <f t="shared" si="85"/>
        <v>0</v>
      </c>
      <c r="N131" s="233">
        <f>VLOOKUP(B131,Dados!$L$86:$P$90,5)</f>
        <v>0</v>
      </c>
      <c r="O131" s="270">
        <f t="shared" si="101"/>
        <v>0.99999999999999989</v>
      </c>
      <c r="P131" s="269">
        <f t="shared" si="102"/>
        <v>0</v>
      </c>
      <c r="Q131" s="269" t="e">
        <f t="shared" si="103"/>
        <v>#DIV/0!</v>
      </c>
      <c r="R131" s="269">
        <f t="shared" si="104"/>
        <v>0</v>
      </c>
      <c r="S131" s="269" t="e">
        <f t="shared" si="105"/>
        <v>#DIV/0!</v>
      </c>
      <c r="T131" s="269" t="e">
        <f t="shared" si="91"/>
        <v>#DIV/0!</v>
      </c>
      <c r="U131" s="234">
        <f t="shared" si="106"/>
        <v>0</v>
      </c>
      <c r="V131" s="232" t="e">
        <f t="shared" si="107"/>
        <v>#DIV/0!</v>
      </c>
      <c r="W131" s="269" t="e">
        <f t="shared" si="108"/>
        <v>#DIV/0!</v>
      </c>
      <c r="X131" s="235">
        <f t="shared" si="86"/>
        <v>0</v>
      </c>
      <c r="Y131" s="236">
        <f t="shared" si="109"/>
        <v>5</v>
      </c>
      <c r="Z131" s="236" t="e">
        <f t="shared" si="110"/>
        <v>#DIV/0!</v>
      </c>
      <c r="AA131" s="236">
        <f t="shared" si="111"/>
        <v>3</v>
      </c>
      <c r="AB131" s="236" t="e">
        <f t="shared" si="112"/>
        <v>#DIV/0!</v>
      </c>
      <c r="AC131" s="235">
        <f t="shared" si="113"/>
        <v>0</v>
      </c>
      <c r="AD131" s="235">
        <f t="shared" si="114"/>
        <v>0</v>
      </c>
      <c r="AE131" s="279">
        <f t="shared" si="115"/>
        <v>0</v>
      </c>
      <c r="AF131" s="232">
        <f t="shared" si="116"/>
        <v>0</v>
      </c>
      <c r="AG131" s="235">
        <f t="shared" si="117"/>
        <v>0</v>
      </c>
      <c r="AH131" s="269">
        <f t="shared" si="118"/>
        <v>0</v>
      </c>
      <c r="AI131" s="232">
        <f t="shared" si="119"/>
        <v>0</v>
      </c>
      <c r="AJ131" s="235">
        <f t="shared" si="120"/>
        <v>0</v>
      </c>
      <c r="AK131" s="269">
        <f t="shared" si="121"/>
        <v>0</v>
      </c>
      <c r="AL131" s="269">
        <f t="shared" si="87"/>
        <v>0</v>
      </c>
      <c r="AM131" s="281" t="e">
        <f>IF(B131&gt;=mpfo,pos*vvm*Dados!$E$122*(ntudv-SUM(U132:$U$301))-SUM($AM$13:AM130),0)</f>
        <v>#DIV/0!</v>
      </c>
      <c r="AN131" s="269" t="e">
        <f t="shared" si="122"/>
        <v>#DIV/0!</v>
      </c>
      <c r="AO131" s="232" t="e">
        <f t="shared" si="123"/>
        <v>#DIV/0!</v>
      </c>
      <c r="AP131" s="242" t="e">
        <f t="shared" si="124"/>
        <v>#DIV/0!</v>
      </c>
      <c r="AQ131" s="235" t="e">
        <f>IF(AP131+SUM($AQ$12:AQ130)&gt;=0,0,-AP131-SUM($AQ$12:AQ130))</f>
        <v>#DIV/0!</v>
      </c>
      <c r="AR131" s="235">
        <f>IF(SUM($N$13:N130)&gt;=pmo,IF(SUM(N130:$N$501)&gt;(1-pmo),B131,0),0)</f>
        <v>0</v>
      </c>
      <c r="AS131" s="235" t="e">
        <f>IF((SUM($U$13:$U130)/ntudv)&gt;=pmv,IF((SUM($U130:$U$501)/ntudv)&gt;(1-pmv),B131,0),0)</f>
        <v>#DIV/0!</v>
      </c>
      <c r="AT131" s="237" t="e">
        <f>IF(MAX(mmo,mmv)=mmo,IF(B131=AR131,(SUM(N$13:$N130)-pmo)/((1-VLOOKUP(MAX(mmo,mmv)-1,$B$13:$O$501,14))+(VLOOKUP(MAX(mmo,mmv)-1,$B$13:$O$501,14)-pmo)),N130/((1-VLOOKUP(MAX(mmo,mmv)-1,$B$13:$O$501,14)+(VLOOKUP(MAX(mmo,mmv)-1,$B$13:$O$501,14)-pmo)))),N130/(1-VLOOKUP(MAX(mmo,mmv)-2,$B$13:$O$501,14)))</f>
        <v>#DIV/0!</v>
      </c>
      <c r="AU131" s="101" t="e">
        <f t="shared" si="88"/>
        <v>#DIV/0!</v>
      </c>
      <c r="AV131" s="287" t="e">
        <f t="shared" si="89"/>
        <v>#DIV/0!</v>
      </c>
      <c r="AW131" s="235" t="e">
        <f t="shared" si="125"/>
        <v>#DIV/0!</v>
      </c>
      <c r="AX131" s="281">
        <f>IF(B131&gt;mpfo,0,IF(B131=mpfo,(vld-teo*(1+tcfo-incc)^(MAX(mmo,mmv)-mbfo))*-1,IF(SUM($N$13:N130)&gt;=pmo,IF(($V130/ntudv)&gt;=pmv,IF(B131=MAX(mmo,mmv),-teo*(1+tcfo-incc)^(B131-mbfo),0),0),0)))</f>
        <v>0</v>
      </c>
      <c r="AY131" s="292" t="e">
        <f t="shared" si="90"/>
        <v>#DIV/0!</v>
      </c>
      <c r="AZ131" s="235" t="e">
        <f t="shared" si="126"/>
        <v>#DIV/0!</v>
      </c>
      <c r="BA131" s="269" t="e">
        <f t="shared" si="127"/>
        <v>#DIV/0!</v>
      </c>
      <c r="BB131" s="292" t="e">
        <f t="shared" si="128"/>
        <v>#DIV/0!</v>
      </c>
      <c r="BC131" s="238" t="e">
        <f>IF(SUM($BC$13:BC130)&gt;0,0,IF(BB131&gt;0,B131,0))</f>
        <v>#DIV/0!</v>
      </c>
      <c r="BD131" s="292" t="e">
        <f>IF(BB131+SUM($BD$12:BD130)&gt;=0,0,-BB131-SUM($BD$12:BD130))</f>
        <v>#DIV/0!</v>
      </c>
      <c r="BE131" s="235" t="e">
        <f>BB131+SUM($BD$12:BD131)</f>
        <v>#DIV/0!</v>
      </c>
      <c r="BF131" s="292" t="e">
        <f>-MIN(BE131:$BE$501)-SUM(BF$12:$BF130)</f>
        <v>#DIV/0!</v>
      </c>
      <c r="BG131" s="235" t="e">
        <f t="shared" si="93"/>
        <v>#DIV/0!</v>
      </c>
    </row>
    <row r="132" spans="2:59">
      <c r="B132" s="246">
        <v>119</v>
      </c>
      <c r="C132" s="241">
        <f t="shared" si="92"/>
        <v>46300</v>
      </c>
      <c r="D132" s="229">
        <f t="shared" si="94"/>
        <v>10</v>
      </c>
      <c r="E132" s="230" t="str">
        <f t="shared" si="95"/>
        <v>-</v>
      </c>
      <c r="F132" s="231">
        <f t="shared" si="96"/>
        <v>0</v>
      </c>
      <c r="G132" s="231">
        <f t="shared" si="97"/>
        <v>0</v>
      </c>
      <c r="H132" s="231">
        <f t="shared" si="98"/>
        <v>0</v>
      </c>
      <c r="I132" s="268">
        <f t="shared" si="83"/>
        <v>0</v>
      </c>
      <c r="J132" s="269">
        <f t="shared" si="99"/>
        <v>0</v>
      </c>
      <c r="K132" s="269">
        <f t="shared" si="100"/>
        <v>0</v>
      </c>
      <c r="L132" s="269">
        <f t="shared" si="84"/>
        <v>0</v>
      </c>
      <c r="M132" s="269">
        <f t="shared" si="85"/>
        <v>0</v>
      </c>
      <c r="N132" s="233">
        <f>VLOOKUP(B132,Dados!$L$86:$P$90,5)</f>
        <v>0</v>
      </c>
      <c r="O132" s="270">
        <f t="shared" si="101"/>
        <v>0.99999999999999989</v>
      </c>
      <c r="P132" s="269">
        <f t="shared" si="102"/>
        <v>0</v>
      </c>
      <c r="Q132" s="269" t="e">
        <f t="shared" si="103"/>
        <v>#DIV/0!</v>
      </c>
      <c r="R132" s="269">
        <f t="shared" si="104"/>
        <v>0</v>
      </c>
      <c r="S132" s="269" t="e">
        <f t="shared" si="105"/>
        <v>#DIV/0!</v>
      </c>
      <c r="T132" s="269" t="e">
        <f t="shared" si="91"/>
        <v>#DIV/0!</v>
      </c>
      <c r="U132" s="234">
        <f t="shared" si="106"/>
        <v>0</v>
      </c>
      <c r="V132" s="232" t="e">
        <f t="shared" si="107"/>
        <v>#DIV/0!</v>
      </c>
      <c r="W132" s="269" t="e">
        <f t="shared" si="108"/>
        <v>#DIV/0!</v>
      </c>
      <c r="X132" s="235">
        <f t="shared" si="86"/>
        <v>0</v>
      </c>
      <c r="Y132" s="236">
        <f t="shared" si="109"/>
        <v>5</v>
      </c>
      <c r="Z132" s="236" t="e">
        <f t="shared" si="110"/>
        <v>#DIV/0!</v>
      </c>
      <c r="AA132" s="236">
        <f t="shared" si="111"/>
        <v>3</v>
      </c>
      <c r="AB132" s="236" t="e">
        <f t="shared" si="112"/>
        <v>#DIV/0!</v>
      </c>
      <c r="AC132" s="235">
        <f t="shared" si="113"/>
        <v>0</v>
      </c>
      <c r="AD132" s="235">
        <f t="shared" si="114"/>
        <v>0</v>
      </c>
      <c r="AE132" s="279">
        <f t="shared" si="115"/>
        <v>0</v>
      </c>
      <c r="AF132" s="232">
        <f t="shared" si="116"/>
        <v>0</v>
      </c>
      <c r="AG132" s="235">
        <f t="shared" si="117"/>
        <v>0</v>
      </c>
      <c r="AH132" s="269">
        <f t="shared" si="118"/>
        <v>0</v>
      </c>
      <c r="AI132" s="232">
        <f t="shared" si="119"/>
        <v>0</v>
      </c>
      <c r="AJ132" s="235">
        <f t="shared" si="120"/>
        <v>0</v>
      </c>
      <c r="AK132" s="269">
        <f t="shared" si="121"/>
        <v>0</v>
      </c>
      <c r="AL132" s="269">
        <f t="shared" si="87"/>
        <v>0</v>
      </c>
      <c r="AM132" s="281" t="e">
        <f>IF(B132&gt;=mpfo,pos*vvm*Dados!$E$122*(ntudv-SUM(U133:$U$301))-SUM($AM$13:AM131),0)</f>
        <v>#DIV/0!</v>
      </c>
      <c r="AN132" s="269" t="e">
        <f t="shared" si="122"/>
        <v>#DIV/0!</v>
      </c>
      <c r="AO132" s="232" t="e">
        <f t="shared" si="123"/>
        <v>#DIV/0!</v>
      </c>
      <c r="AP132" s="242" t="e">
        <f t="shared" si="124"/>
        <v>#DIV/0!</v>
      </c>
      <c r="AQ132" s="235" t="e">
        <f>IF(AP132+SUM($AQ$12:AQ131)&gt;=0,0,-AP132-SUM($AQ$12:AQ131))</f>
        <v>#DIV/0!</v>
      </c>
      <c r="AR132" s="235">
        <f>IF(SUM($N$13:N131)&gt;=pmo,IF(SUM(N131:$N$501)&gt;(1-pmo),B132,0),0)</f>
        <v>0</v>
      </c>
      <c r="AS132" s="235" t="e">
        <f>IF((SUM($U$13:$U131)/ntudv)&gt;=pmv,IF((SUM($U131:$U$501)/ntudv)&gt;(1-pmv),B132,0),0)</f>
        <v>#DIV/0!</v>
      </c>
      <c r="AT132" s="237" t="e">
        <f>IF(MAX(mmo,mmv)=mmo,IF(B132=AR132,(SUM(N$13:$N131)-pmo)/((1-VLOOKUP(MAX(mmo,mmv)-1,$B$13:$O$501,14))+(VLOOKUP(MAX(mmo,mmv)-1,$B$13:$O$501,14)-pmo)),N131/((1-VLOOKUP(MAX(mmo,mmv)-1,$B$13:$O$501,14)+(VLOOKUP(MAX(mmo,mmv)-1,$B$13:$O$501,14)-pmo)))),N131/(1-VLOOKUP(MAX(mmo,mmv)-2,$B$13:$O$501,14)))</f>
        <v>#DIV/0!</v>
      </c>
      <c r="AU132" s="101" t="e">
        <f t="shared" si="88"/>
        <v>#DIV/0!</v>
      </c>
      <c r="AV132" s="287" t="e">
        <f t="shared" si="89"/>
        <v>#DIV/0!</v>
      </c>
      <c r="AW132" s="235" t="e">
        <f t="shared" si="125"/>
        <v>#DIV/0!</v>
      </c>
      <c r="AX132" s="281">
        <f>IF(B132&gt;mpfo,0,IF(B132=mpfo,(vld-teo*(1+tcfo-incc)^(MAX(mmo,mmv)-mbfo))*-1,IF(SUM($N$13:N131)&gt;=pmo,IF(($V131/ntudv)&gt;=pmv,IF(B132=MAX(mmo,mmv),-teo*(1+tcfo-incc)^(B132-mbfo),0),0),0)))</f>
        <v>0</v>
      </c>
      <c r="AY132" s="292" t="e">
        <f t="shared" si="90"/>
        <v>#DIV/0!</v>
      </c>
      <c r="AZ132" s="235" t="e">
        <f t="shared" si="126"/>
        <v>#DIV/0!</v>
      </c>
      <c r="BA132" s="269" t="e">
        <f t="shared" si="127"/>
        <v>#DIV/0!</v>
      </c>
      <c r="BB132" s="292" t="e">
        <f t="shared" si="128"/>
        <v>#DIV/0!</v>
      </c>
      <c r="BC132" s="238" t="e">
        <f>IF(SUM($BC$13:BC131)&gt;0,0,IF(BB132&gt;0,B132,0))</f>
        <v>#DIV/0!</v>
      </c>
      <c r="BD132" s="292" t="e">
        <f>IF(BB132+SUM($BD$12:BD131)&gt;=0,0,-BB132-SUM($BD$12:BD131))</f>
        <v>#DIV/0!</v>
      </c>
      <c r="BE132" s="235" t="e">
        <f>BB132+SUM($BD$12:BD132)</f>
        <v>#DIV/0!</v>
      </c>
      <c r="BF132" s="292" t="e">
        <f>-MIN(BE132:$BE$501)-SUM(BF$12:$BF131)</f>
        <v>#DIV/0!</v>
      </c>
      <c r="BG132" s="235" t="e">
        <f t="shared" si="93"/>
        <v>#DIV/0!</v>
      </c>
    </row>
    <row r="133" spans="2:59">
      <c r="B133" s="120">
        <v>120</v>
      </c>
      <c r="C133" s="241">
        <f t="shared" si="92"/>
        <v>46331</v>
      </c>
      <c r="D133" s="229">
        <f t="shared" si="94"/>
        <v>11</v>
      </c>
      <c r="E133" s="230" t="str">
        <f t="shared" si="95"/>
        <v>-</v>
      </c>
      <c r="F133" s="231">
        <f t="shared" si="96"/>
        <v>0</v>
      </c>
      <c r="G133" s="231">
        <f t="shared" si="97"/>
        <v>0</v>
      </c>
      <c r="H133" s="231">
        <f t="shared" si="98"/>
        <v>0</v>
      </c>
      <c r="I133" s="268">
        <f t="shared" si="83"/>
        <v>0</v>
      </c>
      <c r="J133" s="269">
        <f t="shared" si="99"/>
        <v>0</v>
      </c>
      <c r="K133" s="269">
        <f t="shared" si="100"/>
        <v>0</v>
      </c>
      <c r="L133" s="269">
        <f t="shared" si="84"/>
        <v>0</v>
      </c>
      <c r="M133" s="269">
        <f t="shared" si="85"/>
        <v>0</v>
      </c>
      <c r="N133" s="233">
        <f>VLOOKUP(B133,Dados!$L$86:$P$90,5)</f>
        <v>0</v>
      </c>
      <c r="O133" s="270">
        <f t="shared" si="101"/>
        <v>0.99999999999999989</v>
      </c>
      <c r="P133" s="269">
        <f t="shared" si="102"/>
        <v>0</v>
      </c>
      <c r="Q133" s="269" t="e">
        <f t="shared" si="103"/>
        <v>#DIV/0!</v>
      </c>
      <c r="R133" s="269">
        <f t="shared" si="104"/>
        <v>0</v>
      </c>
      <c r="S133" s="269" t="e">
        <f t="shared" si="105"/>
        <v>#DIV/0!</v>
      </c>
      <c r="T133" s="269" t="e">
        <f t="shared" si="91"/>
        <v>#DIV/0!</v>
      </c>
      <c r="U133" s="234">
        <f t="shared" si="106"/>
        <v>0</v>
      </c>
      <c r="V133" s="232" t="e">
        <f t="shared" si="107"/>
        <v>#DIV/0!</v>
      </c>
      <c r="W133" s="269" t="e">
        <f t="shared" si="108"/>
        <v>#DIV/0!</v>
      </c>
      <c r="X133" s="235">
        <f t="shared" si="86"/>
        <v>0</v>
      </c>
      <c r="Y133" s="236">
        <f t="shared" si="109"/>
        <v>5</v>
      </c>
      <c r="Z133" s="236" t="e">
        <f t="shared" si="110"/>
        <v>#DIV/0!</v>
      </c>
      <c r="AA133" s="236">
        <f t="shared" si="111"/>
        <v>3</v>
      </c>
      <c r="AB133" s="236" t="e">
        <f t="shared" si="112"/>
        <v>#DIV/0!</v>
      </c>
      <c r="AC133" s="235">
        <f t="shared" si="113"/>
        <v>0</v>
      </c>
      <c r="AD133" s="235">
        <f t="shared" si="114"/>
        <v>0</v>
      </c>
      <c r="AE133" s="279">
        <f t="shared" si="115"/>
        <v>0</v>
      </c>
      <c r="AF133" s="232">
        <f t="shared" si="116"/>
        <v>0</v>
      </c>
      <c r="AG133" s="235">
        <f t="shared" si="117"/>
        <v>0</v>
      </c>
      <c r="AH133" s="269">
        <f t="shared" si="118"/>
        <v>0</v>
      </c>
      <c r="AI133" s="232">
        <f t="shared" si="119"/>
        <v>0</v>
      </c>
      <c r="AJ133" s="235">
        <f t="shared" si="120"/>
        <v>0</v>
      </c>
      <c r="AK133" s="269">
        <f t="shared" si="121"/>
        <v>0</v>
      </c>
      <c r="AL133" s="269">
        <f t="shared" si="87"/>
        <v>0</v>
      </c>
      <c r="AM133" s="281" t="e">
        <f>IF(B133&gt;=mpfo,pos*vvm*Dados!$E$122*(ntudv-SUM(U134:$U$301))-SUM($AM$13:AM132),0)</f>
        <v>#DIV/0!</v>
      </c>
      <c r="AN133" s="269" t="e">
        <f t="shared" si="122"/>
        <v>#DIV/0!</v>
      </c>
      <c r="AO133" s="232" t="e">
        <f t="shared" si="123"/>
        <v>#DIV/0!</v>
      </c>
      <c r="AP133" s="242" t="e">
        <f t="shared" si="124"/>
        <v>#DIV/0!</v>
      </c>
      <c r="AQ133" s="235" t="e">
        <f>IF(AP133+SUM($AQ$12:AQ132)&gt;=0,0,-AP133-SUM($AQ$12:AQ132))</f>
        <v>#DIV/0!</v>
      </c>
      <c r="AR133" s="235">
        <f>IF(SUM($N$13:N132)&gt;=pmo,IF(SUM(N132:$N$501)&gt;(1-pmo),B133,0),0)</f>
        <v>0</v>
      </c>
      <c r="AS133" s="235" t="e">
        <f>IF((SUM($U$13:$U132)/ntudv)&gt;=pmv,IF((SUM($U132:$U$501)/ntudv)&gt;(1-pmv),B133,0),0)</f>
        <v>#DIV/0!</v>
      </c>
      <c r="AT133" s="237" t="e">
        <f>IF(MAX(mmo,mmv)=mmo,IF(B133=AR133,(SUM(N$13:$N132)-pmo)/((1-VLOOKUP(MAX(mmo,mmv)-1,$B$13:$O$501,14))+(VLOOKUP(MAX(mmo,mmv)-1,$B$13:$O$501,14)-pmo)),N132/((1-VLOOKUP(MAX(mmo,mmv)-1,$B$13:$O$501,14)+(VLOOKUP(MAX(mmo,mmv)-1,$B$13:$O$501,14)-pmo)))),N132/(1-VLOOKUP(MAX(mmo,mmv)-2,$B$13:$O$501,14)))</f>
        <v>#DIV/0!</v>
      </c>
      <c r="AU133" s="101" t="e">
        <f t="shared" si="88"/>
        <v>#DIV/0!</v>
      </c>
      <c r="AV133" s="287" t="e">
        <f t="shared" si="89"/>
        <v>#DIV/0!</v>
      </c>
      <c r="AW133" s="235" t="e">
        <f t="shared" si="125"/>
        <v>#DIV/0!</v>
      </c>
      <c r="AX133" s="281">
        <f>IF(B133&gt;mpfo,0,IF(B133=mpfo,(vld-teo*(1+tcfo-incc)^(MAX(mmo,mmv)-mbfo))*-1,IF(SUM($N$13:N132)&gt;=pmo,IF(($V132/ntudv)&gt;=pmv,IF(B133=MAX(mmo,mmv),-teo*(1+tcfo-incc)^(B133-mbfo),0),0),0)))</f>
        <v>0</v>
      </c>
      <c r="AY133" s="292" t="e">
        <f t="shared" si="90"/>
        <v>#DIV/0!</v>
      </c>
      <c r="AZ133" s="235" t="e">
        <f t="shared" si="126"/>
        <v>#DIV/0!</v>
      </c>
      <c r="BA133" s="269" t="e">
        <f t="shared" si="127"/>
        <v>#DIV/0!</v>
      </c>
      <c r="BB133" s="292" t="e">
        <f t="shared" si="128"/>
        <v>#DIV/0!</v>
      </c>
      <c r="BC133" s="238" t="e">
        <f>IF(SUM($BC$13:BC132)&gt;0,0,IF(BB133&gt;0,B133,0))</f>
        <v>#DIV/0!</v>
      </c>
      <c r="BD133" s="292" t="e">
        <f>IF(BB133+SUM($BD$12:BD132)&gt;=0,0,-BB133-SUM($BD$12:BD132))</f>
        <v>#DIV/0!</v>
      </c>
      <c r="BE133" s="235" t="e">
        <f>BB133+SUM($BD$12:BD133)</f>
        <v>#DIV/0!</v>
      </c>
      <c r="BF133" s="292" t="e">
        <f>-MIN(BE133:$BE$501)-SUM(BF$12:$BF132)</f>
        <v>#DIV/0!</v>
      </c>
      <c r="BG133" s="235" t="e">
        <f t="shared" si="93"/>
        <v>#DIV/0!</v>
      </c>
    </row>
    <row r="134" spans="2:59">
      <c r="B134" s="246">
        <v>121</v>
      </c>
      <c r="C134" s="241">
        <f t="shared" si="92"/>
        <v>46361</v>
      </c>
      <c r="D134" s="229">
        <f t="shared" si="94"/>
        <v>12</v>
      </c>
      <c r="E134" s="230" t="str">
        <f t="shared" si="95"/>
        <v>-</v>
      </c>
      <c r="F134" s="231">
        <f t="shared" si="96"/>
        <v>0</v>
      </c>
      <c r="G134" s="231">
        <f t="shared" si="97"/>
        <v>0</v>
      </c>
      <c r="H134" s="231">
        <f t="shared" si="98"/>
        <v>0</v>
      </c>
      <c r="I134" s="268">
        <f t="shared" si="83"/>
        <v>0</v>
      </c>
      <c r="J134" s="269">
        <f t="shared" si="99"/>
        <v>0</v>
      </c>
      <c r="K134" s="269">
        <f t="shared" si="100"/>
        <v>0</v>
      </c>
      <c r="L134" s="269">
        <f t="shared" si="84"/>
        <v>0</v>
      </c>
      <c r="M134" s="269">
        <f t="shared" si="85"/>
        <v>0</v>
      </c>
      <c r="N134" s="233">
        <f>VLOOKUP(B134,Dados!$L$86:$P$90,5)</f>
        <v>0</v>
      </c>
      <c r="O134" s="270">
        <f t="shared" si="101"/>
        <v>0.99999999999999989</v>
      </c>
      <c r="P134" s="269">
        <f t="shared" si="102"/>
        <v>0</v>
      </c>
      <c r="Q134" s="269" t="e">
        <f t="shared" si="103"/>
        <v>#DIV/0!</v>
      </c>
      <c r="R134" s="269">
        <f t="shared" si="104"/>
        <v>0</v>
      </c>
      <c r="S134" s="269" t="e">
        <f t="shared" si="105"/>
        <v>#DIV/0!</v>
      </c>
      <c r="T134" s="269" t="e">
        <f t="shared" si="91"/>
        <v>#DIV/0!</v>
      </c>
      <c r="U134" s="234">
        <f t="shared" si="106"/>
        <v>0</v>
      </c>
      <c r="V134" s="232" t="e">
        <f t="shared" si="107"/>
        <v>#DIV/0!</v>
      </c>
      <c r="W134" s="269" t="e">
        <f t="shared" si="108"/>
        <v>#DIV/0!</v>
      </c>
      <c r="X134" s="235">
        <f t="shared" si="86"/>
        <v>0</v>
      </c>
      <c r="Y134" s="236">
        <f t="shared" si="109"/>
        <v>5</v>
      </c>
      <c r="Z134" s="236" t="e">
        <f t="shared" si="110"/>
        <v>#DIV/0!</v>
      </c>
      <c r="AA134" s="236">
        <f t="shared" si="111"/>
        <v>3</v>
      </c>
      <c r="AB134" s="236" t="e">
        <f t="shared" si="112"/>
        <v>#DIV/0!</v>
      </c>
      <c r="AC134" s="235">
        <f t="shared" si="113"/>
        <v>0</v>
      </c>
      <c r="AD134" s="235">
        <f t="shared" si="114"/>
        <v>0</v>
      </c>
      <c r="AE134" s="279">
        <f t="shared" si="115"/>
        <v>0</v>
      </c>
      <c r="AF134" s="232">
        <f t="shared" si="116"/>
        <v>1</v>
      </c>
      <c r="AG134" s="235">
        <f t="shared" si="117"/>
        <v>0</v>
      </c>
      <c r="AH134" s="269">
        <f t="shared" si="118"/>
        <v>0</v>
      </c>
      <c r="AI134" s="232">
        <f t="shared" si="119"/>
        <v>1</v>
      </c>
      <c r="AJ134" s="235">
        <f t="shared" si="120"/>
        <v>0</v>
      </c>
      <c r="AK134" s="269">
        <f t="shared" si="121"/>
        <v>0</v>
      </c>
      <c r="AL134" s="269">
        <f t="shared" si="87"/>
        <v>0</v>
      </c>
      <c r="AM134" s="281" t="e">
        <f>IF(B134&gt;=mpfo,pos*vvm*Dados!$E$122*(ntudv-SUM(U135:$U$301))-SUM($AM$13:AM133),0)</f>
        <v>#DIV/0!</v>
      </c>
      <c r="AN134" s="269" t="e">
        <f t="shared" si="122"/>
        <v>#DIV/0!</v>
      </c>
      <c r="AO134" s="232" t="e">
        <f t="shared" si="123"/>
        <v>#DIV/0!</v>
      </c>
      <c r="AP134" s="242" t="e">
        <f t="shared" si="124"/>
        <v>#DIV/0!</v>
      </c>
      <c r="AQ134" s="235" t="e">
        <f>IF(AP134+SUM($AQ$12:AQ133)&gt;=0,0,-AP134-SUM($AQ$12:AQ133))</f>
        <v>#DIV/0!</v>
      </c>
      <c r="AR134" s="235">
        <f>IF(SUM($N$13:N133)&gt;=pmo,IF(SUM(N133:$N$501)&gt;(1-pmo),B134,0),0)</f>
        <v>0</v>
      </c>
      <c r="AS134" s="235" t="e">
        <f>IF((SUM($U$13:$U133)/ntudv)&gt;=pmv,IF((SUM($U133:$U$501)/ntudv)&gt;(1-pmv),B134,0),0)</f>
        <v>#DIV/0!</v>
      </c>
      <c r="AT134" s="237" t="e">
        <f>IF(MAX(mmo,mmv)=mmo,IF(B134=AR134,(SUM(N$13:$N133)-pmo)/((1-VLOOKUP(MAX(mmo,mmv)-1,$B$13:$O$501,14))+(VLOOKUP(MAX(mmo,mmv)-1,$B$13:$O$501,14)-pmo)),N133/((1-VLOOKUP(MAX(mmo,mmv)-1,$B$13:$O$501,14)+(VLOOKUP(MAX(mmo,mmv)-1,$B$13:$O$501,14)-pmo)))),N133/(1-VLOOKUP(MAX(mmo,mmv)-2,$B$13:$O$501,14)))</f>
        <v>#DIV/0!</v>
      </c>
      <c r="AU134" s="101" t="e">
        <f t="shared" si="88"/>
        <v>#DIV/0!</v>
      </c>
      <c r="AV134" s="287" t="e">
        <f t="shared" si="89"/>
        <v>#DIV/0!</v>
      </c>
      <c r="AW134" s="235" t="e">
        <f t="shared" si="125"/>
        <v>#DIV/0!</v>
      </c>
      <c r="AX134" s="281">
        <f>IF(B134&gt;mpfo,0,IF(B134=mpfo,(vld-teo*(1+tcfo-incc)^(MAX(mmo,mmv)-mbfo))*-1,IF(SUM($N$13:N133)&gt;=pmo,IF(($V133/ntudv)&gt;=pmv,IF(B134=MAX(mmo,mmv),-teo*(1+tcfo-incc)^(B134-mbfo),0),0),0)))</f>
        <v>0</v>
      </c>
      <c r="AY134" s="292" t="e">
        <f t="shared" si="90"/>
        <v>#DIV/0!</v>
      </c>
      <c r="AZ134" s="235" t="e">
        <f t="shared" si="126"/>
        <v>#DIV/0!</v>
      </c>
      <c r="BA134" s="269" t="e">
        <f t="shared" si="127"/>
        <v>#DIV/0!</v>
      </c>
      <c r="BB134" s="292" t="e">
        <f t="shared" si="128"/>
        <v>#DIV/0!</v>
      </c>
      <c r="BC134" s="238" t="e">
        <f>IF(SUM($BC$13:BC133)&gt;0,0,IF(BB134&gt;0,B134,0))</f>
        <v>#DIV/0!</v>
      </c>
      <c r="BD134" s="292" t="e">
        <f>IF(BB134+SUM($BD$12:BD133)&gt;=0,0,-BB134-SUM($BD$12:BD133))</f>
        <v>#DIV/0!</v>
      </c>
      <c r="BE134" s="235" t="e">
        <f>BB134+SUM($BD$12:BD134)</f>
        <v>#DIV/0!</v>
      </c>
      <c r="BF134" s="292" t="e">
        <f>-MIN(BE134:$BE$501)-SUM(BF$12:$BF133)</f>
        <v>#DIV/0!</v>
      </c>
      <c r="BG134" s="235" t="e">
        <f t="shared" si="93"/>
        <v>#DIV/0!</v>
      </c>
    </row>
    <row r="135" spans="2:59">
      <c r="B135" s="120">
        <v>122</v>
      </c>
      <c r="C135" s="241">
        <f t="shared" si="92"/>
        <v>46392</v>
      </c>
      <c r="D135" s="229">
        <f t="shared" si="94"/>
        <v>1</v>
      </c>
      <c r="E135" s="230" t="str">
        <f t="shared" si="95"/>
        <v>-</v>
      </c>
      <c r="F135" s="231">
        <f t="shared" si="96"/>
        <v>0</v>
      </c>
      <c r="G135" s="231">
        <f t="shared" si="97"/>
        <v>0</v>
      </c>
      <c r="H135" s="231">
        <f t="shared" si="98"/>
        <v>0</v>
      </c>
      <c r="I135" s="268">
        <f t="shared" si="83"/>
        <v>0</v>
      </c>
      <c r="J135" s="269">
        <f t="shared" si="99"/>
        <v>0</v>
      </c>
      <c r="K135" s="269">
        <f t="shared" si="100"/>
        <v>0</v>
      </c>
      <c r="L135" s="269">
        <f t="shared" si="84"/>
        <v>0</v>
      </c>
      <c r="M135" s="269">
        <f t="shared" si="85"/>
        <v>0</v>
      </c>
      <c r="N135" s="233">
        <f>VLOOKUP(B135,Dados!$L$86:$P$90,5)</f>
        <v>0</v>
      </c>
      <c r="O135" s="270">
        <f t="shared" si="101"/>
        <v>0.99999999999999989</v>
      </c>
      <c r="P135" s="269">
        <f t="shared" si="102"/>
        <v>0</v>
      </c>
      <c r="Q135" s="269" t="e">
        <f t="shared" si="103"/>
        <v>#DIV/0!</v>
      </c>
      <c r="R135" s="269">
        <f t="shared" si="104"/>
        <v>0</v>
      </c>
      <c r="S135" s="269" t="e">
        <f t="shared" si="105"/>
        <v>#DIV/0!</v>
      </c>
      <c r="T135" s="269" t="e">
        <f t="shared" si="91"/>
        <v>#DIV/0!</v>
      </c>
      <c r="U135" s="234">
        <f t="shared" si="106"/>
        <v>0</v>
      </c>
      <c r="V135" s="232" t="e">
        <f t="shared" si="107"/>
        <v>#DIV/0!</v>
      </c>
      <c r="W135" s="269" t="e">
        <f t="shared" si="108"/>
        <v>#DIV/0!</v>
      </c>
      <c r="X135" s="235">
        <f t="shared" si="86"/>
        <v>0</v>
      </c>
      <c r="Y135" s="236">
        <f t="shared" si="109"/>
        <v>5</v>
      </c>
      <c r="Z135" s="236" t="e">
        <f t="shared" si="110"/>
        <v>#DIV/0!</v>
      </c>
      <c r="AA135" s="236">
        <f t="shared" si="111"/>
        <v>3</v>
      </c>
      <c r="AB135" s="236" t="e">
        <f t="shared" si="112"/>
        <v>#DIV/0!</v>
      </c>
      <c r="AC135" s="235">
        <f t="shared" si="113"/>
        <v>0</v>
      </c>
      <c r="AD135" s="235">
        <f t="shared" si="114"/>
        <v>0</v>
      </c>
      <c r="AE135" s="279">
        <f t="shared" si="115"/>
        <v>0</v>
      </c>
      <c r="AF135" s="232">
        <f t="shared" si="116"/>
        <v>0</v>
      </c>
      <c r="AG135" s="235">
        <f t="shared" si="117"/>
        <v>0</v>
      </c>
      <c r="AH135" s="269">
        <f t="shared" si="118"/>
        <v>0</v>
      </c>
      <c r="AI135" s="232">
        <f t="shared" si="119"/>
        <v>0</v>
      </c>
      <c r="AJ135" s="235">
        <f t="shared" si="120"/>
        <v>0</v>
      </c>
      <c r="AK135" s="269">
        <f t="shared" si="121"/>
        <v>0</v>
      </c>
      <c r="AL135" s="269">
        <f t="shared" si="87"/>
        <v>0</v>
      </c>
      <c r="AM135" s="281" t="e">
        <f>IF(B135&gt;=mpfo,pos*vvm*Dados!$E$122*(ntudv-SUM(U136:$U$301))-SUM($AM$13:AM134),0)</f>
        <v>#DIV/0!</v>
      </c>
      <c r="AN135" s="269" t="e">
        <f t="shared" si="122"/>
        <v>#DIV/0!</v>
      </c>
      <c r="AO135" s="232" t="e">
        <f t="shared" si="123"/>
        <v>#DIV/0!</v>
      </c>
      <c r="AP135" s="242" t="e">
        <f t="shared" si="124"/>
        <v>#DIV/0!</v>
      </c>
      <c r="AQ135" s="235" t="e">
        <f>IF(AP135+SUM($AQ$12:AQ134)&gt;=0,0,-AP135-SUM($AQ$12:AQ134))</f>
        <v>#DIV/0!</v>
      </c>
      <c r="AR135" s="235">
        <f>IF(SUM($N$13:N134)&gt;=pmo,IF(SUM(N134:$N$501)&gt;(1-pmo),B135,0),0)</f>
        <v>0</v>
      </c>
      <c r="AS135" s="235" t="e">
        <f>IF((SUM($U$13:$U134)/ntudv)&gt;=pmv,IF((SUM($U134:$U$501)/ntudv)&gt;(1-pmv),B135,0),0)</f>
        <v>#DIV/0!</v>
      </c>
      <c r="AT135" s="237" t="e">
        <f>IF(MAX(mmo,mmv)=mmo,IF(B135=AR135,(SUM(N$13:$N134)-pmo)/((1-VLOOKUP(MAX(mmo,mmv)-1,$B$13:$O$501,14))+(VLOOKUP(MAX(mmo,mmv)-1,$B$13:$O$501,14)-pmo)),N134/((1-VLOOKUP(MAX(mmo,mmv)-1,$B$13:$O$501,14)+(VLOOKUP(MAX(mmo,mmv)-1,$B$13:$O$501,14)-pmo)))),N134/(1-VLOOKUP(MAX(mmo,mmv)-2,$B$13:$O$501,14)))</f>
        <v>#DIV/0!</v>
      </c>
      <c r="AU135" s="101" t="e">
        <f t="shared" si="88"/>
        <v>#DIV/0!</v>
      </c>
      <c r="AV135" s="287" t="e">
        <f t="shared" si="89"/>
        <v>#DIV/0!</v>
      </c>
      <c r="AW135" s="235" t="e">
        <f t="shared" si="125"/>
        <v>#DIV/0!</v>
      </c>
      <c r="AX135" s="281">
        <f>IF(B135&gt;mpfo,0,IF(B135=mpfo,(vld-teo*(1+tcfo-incc)^(MAX(mmo,mmv)-mbfo))*-1,IF(SUM($N$13:N134)&gt;=pmo,IF(($V134/ntudv)&gt;=pmv,IF(B135=MAX(mmo,mmv),-teo*(1+tcfo-incc)^(B135-mbfo),0),0),0)))</f>
        <v>0</v>
      </c>
      <c r="AY135" s="292" t="e">
        <f t="shared" si="90"/>
        <v>#DIV/0!</v>
      </c>
      <c r="AZ135" s="235" t="e">
        <f t="shared" si="126"/>
        <v>#DIV/0!</v>
      </c>
      <c r="BA135" s="269" t="e">
        <f t="shared" si="127"/>
        <v>#DIV/0!</v>
      </c>
      <c r="BB135" s="292" t="e">
        <f t="shared" si="128"/>
        <v>#DIV/0!</v>
      </c>
      <c r="BC135" s="238" t="e">
        <f>IF(SUM($BC$13:BC134)&gt;0,0,IF(BB135&gt;0,B135,0))</f>
        <v>#DIV/0!</v>
      </c>
      <c r="BD135" s="292" t="e">
        <f>IF(BB135+SUM($BD$12:BD134)&gt;=0,0,-BB135-SUM($BD$12:BD134))</f>
        <v>#DIV/0!</v>
      </c>
      <c r="BE135" s="235" t="e">
        <f>BB135+SUM($BD$12:BD135)</f>
        <v>#DIV/0!</v>
      </c>
      <c r="BF135" s="292" t="e">
        <f>-MIN(BE135:$BE$501)-SUM(BF$12:$BF134)</f>
        <v>#DIV/0!</v>
      </c>
      <c r="BG135" s="235" t="e">
        <f t="shared" si="93"/>
        <v>#DIV/0!</v>
      </c>
    </row>
    <row r="136" spans="2:59">
      <c r="B136" s="246">
        <v>123</v>
      </c>
      <c r="C136" s="241">
        <f t="shared" si="92"/>
        <v>46423</v>
      </c>
      <c r="D136" s="229">
        <f t="shared" si="94"/>
        <v>2</v>
      </c>
      <c r="E136" s="230" t="str">
        <f t="shared" si="95"/>
        <v>-</v>
      </c>
      <c r="F136" s="231">
        <f t="shared" si="96"/>
        <v>0</v>
      </c>
      <c r="G136" s="231">
        <f t="shared" si="97"/>
        <v>0</v>
      </c>
      <c r="H136" s="231">
        <f t="shared" si="98"/>
        <v>0</v>
      </c>
      <c r="I136" s="268">
        <f t="shared" si="83"/>
        <v>0</v>
      </c>
      <c r="J136" s="269">
        <f t="shared" si="99"/>
        <v>0</v>
      </c>
      <c r="K136" s="269">
        <f t="shared" si="100"/>
        <v>0</v>
      </c>
      <c r="L136" s="269">
        <f t="shared" si="84"/>
        <v>0</v>
      </c>
      <c r="M136" s="269">
        <f t="shared" si="85"/>
        <v>0</v>
      </c>
      <c r="N136" s="233">
        <f>VLOOKUP(B136,Dados!$L$86:$P$90,5)</f>
        <v>0</v>
      </c>
      <c r="O136" s="270">
        <f t="shared" si="101"/>
        <v>0.99999999999999989</v>
      </c>
      <c r="P136" s="269">
        <f t="shared" si="102"/>
        <v>0</v>
      </c>
      <c r="Q136" s="269" t="e">
        <f t="shared" si="103"/>
        <v>#DIV/0!</v>
      </c>
      <c r="R136" s="269">
        <f t="shared" si="104"/>
        <v>0</v>
      </c>
      <c r="S136" s="269" t="e">
        <f t="shared" si="105"/>
        <v>#DIV/0!</v>
      </c>
      <c r="T136" s="269" t="e">
        <f t="shared" si="91"/>
        <v>#DIV/0!</v>
      </c>
      <c r="U136" s="234">
        <f t="shared" si="106"/>
        <v>0</v>
      </c>
      <c r="V136" s="232" t="e">
        <f t="shared" si="107"/>
        <v>#DIV/0!</v>
      </c>
      <c r="W136" s="269" t="e">
        <f t="shared" si="108"/>
        <v>#DIV/0!</v>
      </c>
      <c r="X136" s="235">
        <f t="shared" si="86"/>
        <v>0</v>
      </c>
      <c r="Y136" s="236">
        <f t="shared" si="109"/>
        <v>5</v>
      </c>
      <c r="Z136" s="236" t="e">
        <f t="shared" si="110"/>
        <v>#DIV/0!</v>
      </c>
      <c r="AA136" s="236">
        <f t="shared" si="111"/>
        <v>3</v>
      </c>
      <c r="AB136" s="236" t="e">
        <f t="shared" si="112"/>
        <v>#DIV/0!</v>
      </c>
      <c r="AC136" s="235">
        <f t="shared" si="113"/>
        <v>0</v>
      </c>
      <c r="AD136" s="235">
        <f t="shared" si="114"/>
        <v>0</v>
      </c>
      <c r="AE136" s="279">
        <f t="shared" si="115"/>
        <v>0</v>
      </c>
      <c r="AF136" s="232">
        <f t="shared" si="116"/>
        <v>0</v>
      </c>
      <c r="AG136" s="235">
        <f t="shared" si="117"/>
        <v>0</v>
      </c>
      <c r="AH136" s="269">
        <f t="shared" si="118"/>
        <v>0</v>
      </c>
      <c r="AI136" s="232">
        <f t="shared" si="119"/>
        <v>0</v>
      </c>
      <c r="AJ136" s="235">
        <f t="shared" si="120"/>
        <v>0</v>
      </c>
      <c r="AK136" s="269">
        <f t="shared" si="121"/>
        <v>0</v>
      </c>
      <c r="AL136" s="269">
        <f t="shared" si="87"/>
        <v>0</v>
      </c>
      <c r="AM136" s="281" t="e">
        <f>IF(B136&gt;=mpfo,pos*vvm*Dados!$E$122*(ntudv-SUM(U137:$U$301))-SUM($AM$13:AM135),0)</f>
        <v>#DIV/0!</v>
      </c>
      <c r="AN136" s="269" t="e">
        <f t="shared" si="122"/>
        <v>#DIV/0!</v>
      </c>
      <c r="AO136" s="232" t="e">
        <f t="shared" si="123"/>
        <v>#DIV/0!</v>
      </c>
      <c r="AP136" s="242" t="e">
        <f t="shared" si="124"/>
        <v>#DIV/0!</v>
      </c>
      <c r="AQ136" s="235" t="e">
        <f>IF(AP136+SUM($AQ$12:AQ135)&gt;=0,0,-AP136-SUM($AQ$12:AQ135))</f>
        <v>#DIV/0!</v>
      </c>
      <c r="AR136" s="235">
        <f>IF(SUM($N$13:N135)&gt;=pmo,IF(SUM(N135:$N$501)&gt;(1-pmo),B136,0),0)</f>
        <v>0</v>
      </c>
      <c r="AS136" s="235" t="e">
        <f>IF((SUM($U$13:$U135)/ntudv)&gt;=pmv,IF((SUM($U135:$U$501)/ntudv)&gt;(1-pmv),B136,0),0)</f>
        <v>#DIV/0!</v>
      </c>
      <c r="AT136" s="237" t="e">
        <f>IF(MAX(mmo,mmv)=mmo,IF(B136=AR136,(SUM(N$13:$N135)-pmo)/((1-VLOOKUP(MAX(mmo,mmv)-1,$B$13:$O$501,14))+(VLOOKUP(MAX(mmo,mmv)-1,$B$13:$O$501,14)-pmo)),N135/((1-VLOOKUP(MAX(mmo,mmv)-1,$B$13:$O$501,14)+(VLOOKUP(MAX(mmo,mmv)-1,$B$13:$O$501,14)-pmo)))),N135/(1-VLOOKUP(MAX(mmo,mmv)-2,$B$13:$O$501,14)))</f>
        <v>#DIV/0!</v>
      </c>
      <c r="AU136" s="101" t="e">
        <f t="shared" si="88"/>
        <v>#DIV/0!</v>
      </c>
      <c r="AV136" s="287" t="e">
        <f t="shared" si="89"/>
        <v>#DIV/0!</v>
      </c>
      <c r="AW136" s="235" t="e">
        <f t="shared" si="125"/>
        <v>#DIV/0!</v>
      </c>
      <c r="AX136" s="281">
        <f>IF(B136&gt;mpfo,0,IF(B136=mpfo,(vld-teo*(1+tcfo-incc)^(MAX(mmo,mmv)-mbfo))*-1,IF(SUM($N$13:N135)&gt;=pmo,IF(($V135/ntudv)&gt;=pmv,IF(B136=MAX(mmo,mmv),-teo*(1+tcfo-incc)^(B136-mbfo),0),0),0)))</f>
        <v>0</v>
      </c>
      <c r="AY136" s="292" t="e">
        <f t="shared" si="90"/>
        <v>#DIV/0!</v>
      </c>
      <c r="AZ136" s="235" t="e">
        <f t="shared" si="126"/>
        <v>#DIV/0!</v>
      </c>
      <c r="BA136" s="269" t="e">
        <f t="shared" si="127"/>
        <v>#DIV/0!</v>
      </c>
      <c r="BB136" s="292" t="e">
        <f t="shared" si="128"/>
        <v>#DIV/0!</v>
      </c>
      <c r="BC136" s="238" t="e">
        <f>IF(SUM($BC$13:BC135)&gt;0,0,IF(BB136&gt;0,B136,0))</f>
        <v>#DIV/0!</v>
      </c>
      <c r="BD136" s="292" t="e">
        <f>IF(BB136+SUM($BD$12:BD135)&gt;=0,0,-BB136-SUM($BD$12:BD135))</f>
        <v>#DIV/0!</v>
      </c>
      <c r="BE136" s="235" t="e">
        <f>BB136+SUM($BD$12:BD136)</f>
        <v>#DIV/0!</v>
      </c>
      <c r="BF136" s="292" t="e">
        <f>-MIN(BE136:$BE$501)-SUM(BF$12:$BF135)</f>
        <v>#DIV/0!</v>
      </c>
      <c r="BG136" s="235" t="e">
        <f t="shared" si="93"/>
        <v>#DIV/0!</v>
      </c>
    </row>
    <row r="137" spans="2:59">
      <c r="B137" s="120">
        <v>124</v>
      </c>
      <c r="C137" s="241">
        <f t="shared" si="92"/>
        <v>46451</v>
      </c>
      <c r="D137" s="229">
        <f t="shared" si="94"/>
        <v>3</v>
      </c>
      <c r="E137" s="230" t="str">
        <f t="shared" si="95"/>
        <v>-</v>
      </c>
      <c r="F137" s="231">
        <f t="shared" si="96"/>
        <v>0</v>
      </c>
      <c r="G137" s="231">
        <f t="shared" si="97"/>
        <v>0</v>
      </c>
      <c r="H137" s="231">
        <f t="shared" si="98"/>
        <v>0</v>
      </c>
      <c r="I137" s="268">
        <f t="shared" si="83"/>
        <v>0</v>
      </c>
      <c r="J137" s="269">
        <f t="shared" si="99"/>
        <v>0</v>
      </c>
      <c r="K137" s="269">
        <f t="shared" si="100"/>
        <v>0</v>
      </c>
      <c r="L137" s="269">
        <f t="shared" si="84"/>
        <v>0</v>
      </c>
      <c r="M137" s="269">
        <f t="shared" si="85"/>
        <v>0</v>
      </c>
      <c r="N137" s="233">
        <f>VLOOKUP(B137,Dados!$L$86:$P$90,5)</f>
        <v>0</v>
      </c>
      <c r="O137" s="270">
        <f t="shared" si="101"/>
        <v>0.99999999999999989</v>
      </c>
      <c r="P137" s="269">
        <f t="shared" si="102"/>
        <v>0</v>
      </c>
      <c r="Q137" s="269" t="e">
        <f t="shared" si="103"/>
        <v>#DIV/0!</v>
      </c>
      <c r="R137" s="269">
        <f t="shared" si="104"/>
        <v>0</v>
      </c>
      <c r="S137" s="269" t="e">
        <f t="shared" si="105"/>
        <v>#DIV/0!</v>
      </c>
      <c r="T137" s="269" t="e">
        <f t="shared" si="91"/>
        <v>#DIV/0!</v>
      </c>
      <c r="U137" s="234">
        <f t="shared" si="106"/>
        <v>0</v>
      </c>
      <c r="V137" s="232" t="e">
        <f t="shared" si="107"/>
        <v>#DIV/0!</v>
      </c>
      <c r="W137" s="269" t="e">
        <f t="shared" si="108"/>
        <v>#DIV/0!</v>
      </c>
      <c r="X137" s="235">
        <f t="shared" si="86"/>
        <v>0</v>
      </c>
      <c r="Y137" s="236">
        <f t="shared" si="109"/>
        <v>5</v>
      </c>
      <c r="Z137" s="236" t="e">
        <f t="shared" si="110"/>
        <v>#DIV/0!</v>
      </c>
      <c r="AA137" s="236">
        <f t="shared" si="111"/>
        <v>3</v>
      </c>
      <c r="AB137" s="236" t="e">
        <f t="shared" si="112"/>
        <v>#DIV/0!</v>
      </c>
      <c r="AC137" s="235">
        <f t="shared" si="113"/>
        <v>0</v>
      </c>
      <c r="AD137" s="235">
        <f t="shared" si="114"/>
        <v>0</v>
      </c>
      <c r="AE137" s="279">
        <f t="shared" si="115"/>
        <v>0</v>
      </c>
      <c r="AF137" s="232">
        <f t="shared" si="116"/>
        <v>0</v>
      </c>
      <c r="AG137" s="235">
        <f t="shared" si="117"/>
        <v>0</v>
      </c>
      <c r="AH137" s="269">
        <f t="shared" si="118"/>
        <v>0</v>
      </c>
      <c r="AI137" s="232">
        <f t="shared" si="119"/>
        <v>0</v>
      </c>
      <c r="AJ137" s="235">
        <f t="shared" si="120"/>
        <v>0</v>
      </c>
      <c r="AK137" s="269">
        <f t="shared" si="121"/>
        <v>0</v>
      </c>
      <c r="AL137" s="269">
        <f t="shared" si="87"/>
        <v>0</v>
      </c>
      <c r="AM137" s="281" t="e">
        <f>IF(B137&gt;=mpfo,pos*vvm*Dados!$E$122*(ntudv-SUM(U138:$U$301))-SUM($AM$13:AM136),0)</f>
        <v>#DIV/0!</v>
      </c>
      <c r="AN137" s="269" t="e">
        <f t="shared" si="122"/>
        <v>#DIV/0!</v>
      </c>
      <c r="AO137" s="232" t="e">
        <f t="shared" si="123"/>
        <v>#DIV/0!</v>
      </c>
      <c r="AP137" s="242" t="e">
        <f t="shared" si="124"/>
        <v>#DIV/0!</v>
      </c>
      <c r="AQ137" s="235" t="e">
        <f>IF(AP137+SUM($AQ$12:AQ136)&gt;=0,0,-AP137-SUM($AQ$12:AQ136))</f>
        <v>#DIV/0!</v>
      </c>
      <c r="AR137" s="235">
        <f>IF(SUM($N$13:N136)&gt;=pmo,IF(SUM(N136:$N$501)&gt;(1-pmo),B137,0),0)</f>
        <v>0</v>
      </c>
      <c r="AS137" s="235" t="e">
        <f>IF((SUM($U$13:$U136)/ntudv)&gt;=pmv,IF((SUM($U136:$U$501)/ntudv)&gt;(1-pmv),B137,0),0)</f>
        <v>#DIV/0!</v>
      </c>
      <c r="AT137" s="237" t="e">
        <f>IF(MAX(mmo,mmv)=mmo,IF(B137=AR137,(SUM(N$13:$N136)-pmo)/((1-VLOOKUP(MAX(mmo,mmv)-1,$B$13:$O$501,14))+(VLOOKUP(MAX(mmo,mmv)-1,$B$13:$O$501,14)-pmo)),N136/((1-VLOOKUP(MAX(mmo,mmv)-1,$B$13:$O$501,14)+(VLOOKUP(MAX(mmo,mmv)-1,$B$13:$O$501,14)-pmo)))),N136/(1-VLOOKUP(MAX(mmo,mmv)-2,$B$13:$O$501,14)))</f>
        <v>#DIV/0!</v>
      </c>
      <c r="AU137" s="101" t="e">
        <f t="shared" si="88"/>
        <v>#DIV/0!</v>
      </c>
      <c r="AV137" s="287" t="e">
        <f t="shared" si="89"/>
        <v>#DIV/0!</v>
      </c>
      <c r="AW137" s="235" t="e">
        <f t="shared" si="125"/>
        <v>#DIV/0!</v>
      </c>
      <c r="AX137" s="281">
        <f>IF(B137&gt;mpfo,0,IF(B137=mpfo,(vld-teo*(1+tcfo-incc)^(MAX(mmo,mmv)-mbfo))*-1,IF(SUM($N$13:N136)&gt;=pmo,IF(($V136/ntudv)&gt;=pmv,IF(B137=MAX(mmo,mmv),-teo*(1+tcfo-incc)^(B137-mbfo),0),0),0)))</f>
        <v>0</v>
      </c>
      <c r="AY137" s="292" t="e">
        <f t="shared" si="90"/>
        <v>#DIV/0!</v>
      </c>
      <c r="AZ137" s="235" t="e">
        <f t="shared" si="126"/>
        <v>#DIV/0!</v>
      </c>
      <c r="BA137" s="269" t="e">
        <f t="shared" si="127"/>
        <v>#DIV/0!</v>
      </c>
      <c r="BB137" s="292" t="e">
        <f t="shared" si="128"/>
        <v>#DIV/0!</v>
      </c>
      <c r="BC137" s="238" t="e">
        <f>IF(SUM($BC$13:BC136)&gt;0,0,IF(BB137&gt;0,B137,0))</f>
        <v>#DIV/0!</v>
      </c>
      <c r="BD137" s="292" t="e">
        <f>IF(BB137+SUM($BD$12:BD136)&gt;=0,0,-BB137-SUM($BD$12:BD136))</f>
        <v>#DIV/0!</v>
      </c>
      <c r="BE137" s="235" t="e">
        <f>BB137+SUM($BD$12:BD137)</f>
        <v>#DIV/0!</v>
      </c>
      <c r="BF137" s="292" t="e">
        <f>-MIN(BE137:$BE$501)-SUM(BF$12:$BF136)</f>
        <v>#DIV/0!</v>
      </c>
      <c r="BG137" s="235" t="e">
        <f t="shared" si="93"/>
        <v>#DIV/0!</v>
      </c>
    </row>
    <row r="138" spans="2:59">
      <c r="B138" s="246">
        <v>125</v>
      </c>
      <c r="C138" s="241">
        <f t="shared" si="92"/>
        <v>46482</v>
      </c>
      <c r="D138" s="229">
        <f t="shared" si="94"/>
        <v>4</v>
      </c>
      <c r="E138" s="230" t="str">
        <f t="shared" si="95"/>
        <v>-</v>
      </c>
      <c r="F138" s="231">
        <f t="shared" si="96"/>
        <v>0</v>
      </c>
      <c r="G138" s="231">
        <f t="shared" si="97"/>
        <v>0</v>
      </c>
      <c r="H138" s="231">
        <f t="shared" si="98"/>
        <v>0</v>
      </c>
      <c r="I138" s="268">
        <f t="shared" si="83"/>
        <v>0</v>
      </c>
      <c r="J138" s="269">
        <f t="shared" si="99"/>
        <v>0</v>
      </c>
      <c r="K138" s="269">
        <f t="shared" si="100"/>
        <v>0</v>
      </c>
      <c r="L138" s="269">
        <f t="shared" si="84"/>
        <v>0</v>
      </c>
      <c r="M138" s="269">
        <f t="shared" si="85"/>
        <v>0</v>
      </c>
      <c r="N138" s="233">
        <f>VLOOKUP(B138,Dados!$L$86:$P$90,5)</f>
        <v>0</v>
      </c>
      <c r="O138" s="270">
        <f t="shared" si="101"/>
        <v>0.99999999999999989</v>
      </c>
      <c r="P138" s="269">
        <f t="shared" si="102"/>
        <v>0</v>
      </c>
      <c r="Q138" s="269" t="e">
        <f t="shared" si="103"/>
        <v>#DIV/0!</v>
      </c>
      <c r="R138" s="269">
        <f t="shared" si="104"/>
        <v>0</v>
      </c>
      <c r="S138" s="269" t="e">
        <f t="shared" si="105"/>
        <v>#DIV/0!</v>
      </c>
      <c r="T138" s="269" t="e">
        <f t="shared" si="91"/>
        <v>#DIV/0!</v>
      </c>
      <c r="U138" s="234">
        <f t="shared" si="106"/>
        <v>0</v>
      </c>
      <c r="V138" s="232" t="e">
        <f t="shared" si="107"/>
        <v>#DIV/0!</v>
      </c>
      <c r="W138" s="269" t="e">
        <f t="shared" si="108"/>
        <v>#DIV/0!</v>
      </c>
      <c r="X138" s="235">
        <f t="shared" si="86"/>
        <v>0</v>
      </c>
      <c r="Y138" s="236">
        <f t="shared" si="109"/>
        <v>5</v>
      </c>
      <c r="Z138" s="236" t="e">
        <f t="shared" si="110"/>
        <v>#DIV/0!</v>
      </c>
      <c r="AA138" s="236">
        <f t="shared" si="111"/>
        <v>3</v>
      </c>
      <c r="AB138" s="236" t="e">
        <f t="shared" si="112"/>
        <v>#DIV/0!</v>
      </c>
      <c r="AC138" s="235">
        <f t="shared" si="113"/>
        <v>0</v>
      </c>
      <c r="AD138" s="235">
        <f t="shared" si="114"/>
        <v>0</v>
      </c>
      <c r="AE138" s="279">
        <f t="shared" si="115"/>
        <v>0</v>
      </c>
      <c r="AF138" s="232">
        <f t="shared" si="116"/>
        <v>0</v>
      </c>
      <c r="AG138" s="235">
        <f t="shared" si="117"/>
        <v>0</v>
      </c>
      <c r="AH138" s="269">
        <f t="shared" si="118"/>
        <v>0</v>
      </c>
      <c r="AI138" s="232">
        <f t="shared" si="119"/>
        <v>0</v>
      </c>
      <c r="AJ138" s="235">
        <f t="shared" si="120"/>
        <v>0</v>
      </c>
      <c r="AK138" s="269">
        <f t="shared" si="121"/>
        <v>0</v>
      </c>
      <c r="AL138" s="269">
        <f t="shared" si="87"/>
        <v>0</v>
      </c>
      <c r="AM138" s="281" t="e">
        <f>IF(B138&gt;=mpfo,pos*vvm*Dados!$E$122*(ntudv-SUM(U139:$U$301))-SUM($AM$13:AM137),0)</f>
        <v>#DIV/0!</v>
      </c>
      <c r="AN138" s="269" t="e">
        <f t="shared" si="122"/>
        <v>#DIV/0!</v>
      </c>
      <c r="AO138" s="232" t="e">
        <f t="shared" si="123"/>
        <v>#DIV/0!</v>
      </c>
      <c r="AP138" s="242" t="e">
        <f t="shared" si="124"/>
        <v>#DIV/0!</v>
      </c>
      <c r="AQ138" s="235" t="e">
        <f>IF(AP138+SUM($AQ$12:AQ137)&gt;=0,0,-AP138-SUM($AQ$12:AQ137))</f>
        <v>#DIV/0!</v>
      </c>
      <c r="AR138" s="235">
        <f>IF(SUM($N$13:N137)&gt;=pmo,IF(SUM(N137:$N$501)&gt;(1-pmo),B138,0),0)</f>
        <v>0</v>
      </c>
      <c r="AS138" s="235" t="e">
        <f>IF((SUM($U$13:$U137)/ntudv)&gt;=pmv,IF((SUM($U137:$U$501)/ntudv)&gt;(1-pmv),B138,0),0)</f>
        <v>#DIV/0!</v>
      </c>
      <c r="AT138" s="237" t="e">
        <f>IF(MAX(mmo,mmv)=mmo,IF(B138=AR138,(SUM(N$13:$N137)-pmo)/((1-VLOOKUP(MAX(mmo,mmv)-1,$B$13:$O$501,14))+(VLOOKUP(MAX(mmo,mmv)-1,$B$13:$O$501,14)-pmo)),N137/((1-VLOOKUP(MAX(mmo,mmv)-1,$B$13:$O$501,14)+(VLOOKUP(MAX(mmo,mmv)-1,$B$13:$O$501,14)-pmo)))),N137/(1-VLOOKUP(MAX(mmo,mmv)-2,$B$13:$O$501,14)))</f>
        <v>#DIV/0!</v>
      </c>
      <c r="AU138" s="101" t="e">
        <f t="shared" si="88"/>
        <v>#DIV/0!</v>
      </c>
      <c r="AV138" s="287" t="e">
        <f t="shared" si="89"/>
        <v>#DIV/0!</v>
      </c>
      <c r="AW138" s="235" t="e">
        <f t="shared" si="125"/>
        <v>#DIV/0!</v>
      </c>
      <c r="AX138" s="281">
        <f>IF(B138&gt;mpfo,0,IF(B138=mpfo,(vld-teo*(1+tcfo-incc)^(MAX(mmo,mmv)-mbfo))*-1,IF(SUM($N$13:N137)&gt;=pmo,IF(($V137/ntudv)&gt;=pmv,IF(B138=MAX(mmo,mmv),-teo*(1+tcfo-incc)^(B138-mbfo),0),0),0)))</f>
        <v>0</v>
      </c>
      <c r="AY138" s="292" t="e">
        <f t="shared" si="90"/>
        <v>#DIV/0!</v>
      </c>
      <c r="AZ138" s="235" t="e">
        <f t="shared" si="126"/>
        <v>#DIV/0!</v>
      </c>
      <c r="BA138" s="269" t="e">
        <f t="shared" si="127"/>
        <v>#DIV/0!</v>
      </c>
      <c r="BB138" s="292" t="e">
        <f t="shared" si="128"/>
        <v>#DIV/0!</v>
      </c>
      <c r="BC138" s="238" t="e">
        <f>IF(SUM($BC$13:BC137)&gt;0,0,IF(BB138&gt;0,B138,0))</f>
        <v>#DIV/0!</v>
      </c>
      <c r="BD138" s="292" t="e">
        <f>IF(BB138+SUM($BD$12:BD137)&gt;=0,0,-BB138-SUM($BD$12:BD137))</f>
        <v>#DIV/0!</v>
      </c>
      <c r="BE138" s="235" t="e">
        <f>BB138+SUM($BD$12:BD138)</f>
        <v>#DIV/0!</v>
      </c>
      <c r="BF138" s="292" t="e">
        <f>-MIN(BE138:$BE$501)-SUM(BF$12:$BF137)</f>
        <v>#DIV/0!</v>
      </c>
      <c r="BG138" s="235" t="e">
        <f t="shared" si="93"/>
        <v>#DIV/0!</v>
      </c>
    </row>
    <row r="139" spans="2:59">
      <c r="B139" s="120">
        <v>126</v>
      </c>
      <c r="C139" s="241">
        <f t="shared" si="92"/>
        <v>46512</v>
      </c>
      <c r="D139" s="229">
        <f t="shared" si="94"/>
        <v>5</v>
      </c>
      <c r="E139" s="230" t="str">
        <f t="shared" si="95"/>
        <v>-</v>
      </c>
      <c r="F139" s="231">
        <f t="shared" si="96"/>
        <v>0</v>
      </c>
      <c r="G139" s="231">
        <f t="shared" si="97"/>
        <v>0</v>
      </c>
      <c r="H139" s="231">
        <f t="shared" si="98"/>
        <v>0</v>
      </c>
      <c r="I139" s="268">
        <f t="shared" si="83"/>
        <v>0</v>
      </c>
      <c r="J139" s="269">
        <f t="shared" si="99"/>
        <v>0</v>
      </c>
      <c r="K139" s="269">
        <f t="shared" si="100"/>
        <v>0</v>
      </c>
      <c r="L139" s="269">
        <f t="shared" si="84"/>
        <v>0</v>
      </c>
      <c r="M139" s="269">
        <f t="shared" si="85"/>
        <v>0</v>
      </c>
      <c r="N139" s="233">
        <f>VLOOKUP(B139,Dados!$L$86:$P$90,5)</f>
        <v>0</v>
      </c>
      <c r="O139" s="270">
        <f t="shared" si="101"/>
        <v>0.99999999999999989</v>
      </c>
      <c r="P139" s="269">
        <f t="shared" si="102"/>
        <v>0</v>
      </c>
      <c r="Q139" s="269" t="e">
        <f t="shared" si="103"/>
        <v>#DIV/0!</v>
      </c>
      <c r="R139" s="269">
        <f t="shared" si="104"/>
        <v>0</v>
      </c>
      <c r="S139" s="269" t="e">
        <f t="shared" si="105"/>
        <v>#DIV/0!</v>
      </c>
      <c r="T139" s="269" t="e">
        <f t="shared" si="91"/>
        <v>#DIV/0!</v>
      </c>
      <c r="U139" s="234">
        <f t="shared" si="106"/>
        <v>0</v>
      </c>
      <c r="V139" s="232" t="e">
        <f t="shared" si="107"/>
        <v>#DIV/0!</v>
      </c>
      <c r="W139" s="269" t="e">
        <f t="shared" si="108"/>
        <v>#DIV/0!</v>
      </c>
      <c r="X139" s="235">
        <f t="shared" si="86"/>
        <v>0</v>
      </c>
      <c r="Y139" s="236">
        <f t="shared" si="109"/>
        <v>5</v>
      </c>
      <c r="Z139" s="236" t="e">
        <f t="shared" si="110"/>
        <v>#DIV/0!</v>
      </c>
      <c r="AA139" s="236">
        <f t="shared" si="111"/>
        <v>3</v>
      </c>
      <c r="AB139" s="236" t="e">
        <f t="shared" si="112"/>
        <v>#DIV/0!</v>
      </c>
      <c r="AC139" s="235">
        <f t="shared" si="113"/>
        <v>0</v>
      </c>
      <c r="AD139" s="235">
        <f t="shared" si="114"/>
        <v>0</v>
      </c>
      <c r="AE139" s="279">
        <f t="shared" si="115"/>
        <v>0</v>
      </c>
      <c r="AF139" s="232">
        <f t="shared" si="116"/>
        <v>0</v>
      </c>
      <c r="AG139" s="235">
        <f t="shared" si="117"/>
        <v>0</v>
      </c>
      <c r="AH139" s="269">
        <f t="shared" si="118"/>
        <v>0</v>
      </c>
      <c r="AI139" s="232">
        <f t="shared" si="119"/>
        <v>0</v>
      </c>
      <c r="AJ139" s="235">
        <f t="shared" si="120"/>
        <v>0</v>
      </c>
      <c r="AK139" s="269">
        <f t="shared" si="121"/>
        <v>0</v>
      </c>
      <c r="AL139" s="269">
        <f t="shared" si="87"/>
        <v>0</v>
      </c>
      <c r="AM139" s="281" t="e">
        <f>IF(B139&gt;=mpfo,pos*vvm*Dados!$E$122*(ntudv-SUM(U140:$U$301))-SUM($AM$13:AM138),0)</f>
        <v>#DIV/0!</v>
      </c>
      <c r="AN139" s="269" t="e">
        <f t="shared" si="122"/>
        <v>#DIV/0!</v>
      </c>
      <c r="AO139" s="232" t="e">
        <f t="shared" si="123"/>
        <v>#DIV/0!</v>
      </c>
      <c r="AP139" s="242" t="e">
        <f t="shared" si="124"/>
        <v>#DIV/0!</v>
      </c>
      <c r="AQ139" s="235" t="e">
        <f>IF(AP139+SUM($AQ$12:AQ138)&gt;=0,0,-AP139-SUM($AQ$12:AQ138))</f>
        <v>#DIV/0!</v>
      </c>
      <c r="AR139" s="235">
        <f>IF(SUM($N$13:N138)&gt;=pmo,IF(SUM(N138:$N$501)&gt;(1-pmo),B139,0),0)</f>
        <v>0</v>
      </c>
      <c r="AS139" s="235" t="e">
        <f>IF((SUM($U$13:$U138)/ntudv)&gt;=pmv,IF((SUM($U138:$U$501)/ntudv)&gt;(1-pmv),B139,0),0)</f>
        <v>#DIV/0!</v>
      </c>
      <c r="AT139" s="237" t="e">
        <f>IF(MAX(mmo,mmv)=mmo,IF(B139=AR139,(SUM(N$13:$N138)-pmo)/((1-VLOOKUP(MAX(mmo,mmv)-1,$B$13:$O$501,14))+(VLOOKUP(MAX(mmo,mmv)-1,$B$13:$O$501,14)-pmo)),N138/((1-VLOOKUP(MAX(mmo,mmv)-1,$B$13:$O$501,14)+(VLOOKUP(MAX(mmo,mmv)-1,$B$13:$O$501,14)-pmo)))),N138/(1-VLOOKUP(MAX(mmo,mmv)-2,$B$13:$O$501,14)))</f>
        <v>#DIV/0!</v>
      </c>
      <c r="AU139" s="101" t="e">
        <f t="shared" si="88"/>
        <v>#DIV/0!</v>
      </c>
      <c r="AV139" s="287" t="e">
        <f t="shared" si="89"/>
        <v>#DIV/0!</v>
      </c>
      <c r="AW139" s="235" t="e">
        <f t="shared" si="125"/>
        <v>#DIV/0!</v>
      </c>
      <c r="AX139" s="281">
        <f>IF(B139&gt;mpfo,0,IF(B139=mpfo,(vld-teo*(1+tcfo-incc)^(MAX(mmo,mmv)-mbfo))*-1,IF(SUM($N$13:N138)&gt;=pmo,IF(($V138/ntudv)&gt;=pmv,IF(B139=MAX(mmo,mmv),-teo*(1+tcfo-incc)^(B139-mbfo),0),0),0)))</f>
        <v>0</v>
      </c>
      <c r="AY139" s="292" t="e">
        <f t="shared" si="90"/>
        <v>#DIV/0!</v>
      </c>
      <c r="AZ139" s="235" t="e">
        <f t="shared" si="126"/>
        <v>#DIV/0!</v>
      </c>
      <c r="BA139" s="269" t="e">
        <f t="shared" si="127"/>
        <v>#DIV/0!</v>
      </c>
      <c r="BB139" s="292" t="e">
        <f t="shared" si="128"/>
        <v>#DIV/0!</v>
      </c>
      <c r="BC139" s="238" t="e">
        <f>IF(SUM($BC$13:BC138)&gt;0,0,IF(BB139&gt;0,B139,0))</f>
        <v>#DIV/0!</v>
      </c>
      <c r="BD139" s="292" t="e">
        <f>IF(BB139+SUM($BD$12:BD138)&gt;=0,0,-BB139-SUM($BD$12:BD138))</f>
        <v>#DIV/0!</v>
      </c>
      <c r="BE139" s="235" t="e">
        <f>BB139+SUM($BD$12:BD139)</f>
        <v>#DIV/0!</v>
      </c>
      <c r="BF139" s="292" t="e">
        <f>-MIN(BE139:$BE$501)-SUM(BF$12:$BF138)</f>
        <v>#DIV/0!</v>
      </c>
      <c r="BG139" s="235" t="e">
        <f t="shared" si="93"/>
        <v>#DIV/0!</v>
      </c>
    </row>
    <row r="140" spans="2:59">
      <c r="B140" s="246">
        <v>127</v>
      </c>
      <c r="C140" s="241">
        <f t="shared" si="92"/>
        <v>46543</v>
      </c>
      <c r="D140" s="229">
        <f t="shared" si="94"/>
        <v>6</v>
      </c>
      <c r="E140" s="230" t="str">
        <f t="shared" si="95"/>
        <v>-</v>
      </c>
      <c r="F140" s="231">
        <f t="shared" si="96"/>
        <v>0</v>
      </c>
      <c r="G140" s="231">
        <f t="shared" si="97"/>
        <v>0</v>
      </c>
      <c r="H140" s="231">
        <f t="shared" si="98"/>
        <v>0</v>
      </c>
      <c r="I140" s="268">
        <f t="shared" si="83"/>
        <v>0</v>
      </c>
      <c r="J140" s="269">
        <f t="shared" si="99"/>
        <v>0</v>
      </c>
      <c r="K140" s="269">
        <f t="shared" si="100"/>
        <v>0</v>
      </c>
      <c r="L140" s="269">
        <f t="shared" si="84"/>
        <v>0</v>
      </c>
      <c r="M140" s="269">
        <f t="shared" si="85"/>
        <v>0</v>
      </c>
      <c r="N140" s="233">
        <f>VLOOKUP(B140,Dados!$L$86:$P$90,5)</f>
        <v>0</v>
      </c>
      <c r="O140" s="270">
        <f t="shared" si="101"/>
        <v>0.99999999999999989</v>
      </c>
      <c r="P140" s="269">
        <f t="shared" si="102"/>
        <v>0</v>
      </c>
      <c r="Q140" s="269" t="e">
        <f t="shared" si="103"/>
        <v>#DIV/0!</v>
      </c>
      <c r="R140" s="269">
        <f t="shared" si="104"/>
        <v>0</v>
      </c>
      <c r="S140" s="269" t="e">
        <f t="shared" si="105"/>
        <v>#DIV/0!</v>
      </c>
      <c r="T140" s="269" t="e">
        <f t="shared" si="91"/>
        <v>#DIV/0!</v>
      </c>
      <c r="U140" s="234">
        <f t="shared" si="106"/>
        <v>0</v>
      </c>
      <c r="V140" s="232" t="e">
        <f t="shared" si="107"/>
        <v>#DIV/0!</v>
      </c>
      <c r="W140" s="269" t="e">
        <f t="shared" si="108"/>
        <v>#DIV/0!</v>
      </c>
      <c r="X140" s="235">
        <f t="shared" si="86"/>
        <v>0</v>
      </c>
      <c r="Y140" s="236">
        <f t="shared" si="109"/>
        <v>5</v>
      </c>
      <c r="Z140" s="236" t="e">
        <f t="shared" si="110"/>
        <v>#DIV/0!</v>
      </c>
      <c r="AA140" s="236">
        <f t="shared" si="111"/>
        <v>3</v>
      </c>
      <c r="AB140" s="236" t="e">
        <f t="shared" si="112"/>
        <v>#DIV/0!</v>
      </c>
      <c r="AC140" s="235">
        <f t="shared" si="113"/>
        <v>0</v>
      </c>
      <c r="AD140" s="235">
        <f t="shared" si="114"/>
        <v>0</v>
      </c>
      <c r="AE140" s="279">
        <f t="shared" si="115"/>
        <v>0</v>
      </c>
      <c r="AF140" s="232">
        <f t="shared" si="116"/>
        <v>1</v>
      </c>
      <c r="AG140" s="235">
        <f t="shared" si="117"/>
        <v>0</v>
      </c>
      <c r="AH140" s="269">
        <f t="shared" si="118"/>
        <v>0</v>
      </c>
      <c r="AI140" s="232">
        <f t="shared" si="119"/>
        <v>0</v>
      </c>
      <c r="AJ140" s="235">
        <f t="shared" si="120"/>
        <v>0</v>
      </c>
      <c r="AK140" s="269">
        <f t="shared" si="121"/>
        <v>0</v>
      </c>
      <c r="AL140" s="269">
        <f t="shared" si="87"/>
        <v>0</v>
      </c>
      <c r="AM140" s="281" t="e">
        <f>IF(B140&gt;=mpfo,pos*vvm*Dados!$E$122*(ntudv-SUM(U141:$U$301))-SUM($AM$13:AM139),0)</f>
        <v>#DIV/0!</v>
      </c>
      <c r="AN140" s="269" t="e">
        <f t="shared" si="122"/>
        <v>#DIV/0!</v>
      </c>
      <c r="AO140" s="232" t="e">
        <f t="shared" si="123"/>
        <v>#DIV/0!</v>
      </c>
      <c r="AP140" s="242" t="e">
        <f t="shared" si="124"/>
        <v>#DIV/0!</v>
      </c>
      <c r="AQ140" s="235" t="e">
        <f>IF(AP140+SUM($AQ$12:AQ139)&gt;=0,0,-AP140-SUM($AQ$12:AQ139))</f>
        <v>#DIV/0!</v>
      </c>
      <c r="AR140" s="235">
        <f>IF(SUM($N$13:N139)&gt;=pmo,IF(SUM(N139:$N$501)&gt;(1-pmo),B140,0),0)</f>
        <v>0</v>
      </c>
      <c r="AS140" s="235" t="e">
        <f>IF((SUM($U$13:$U139)/ntudv)&gt;=pmv,IF((SUM($U139:$U$501)/ntudv)&gt;(1-pmv),B140,0),0)</f>
        <v>#DIV/0!</v>
      </c>
      <c r="AT140" s="237" t="e">
        <f>IF(MAX(mmo,mmv)=mmo,IF(B140=AR140,(SUM(N$13:$N139)-pmo)/((1-VLOOKUP(MAX(mmo,mmv)-1,$B$13:$O$501,14))+(VLOOKUP(MAX(mmo,mmv)-1,$B$13:$O$501,14)-pmo)),N139/((1-VLOOKUP(MAX(mmo,mmv)-1,$B$13:$O$501,14)+(VLOOKUP(MAX(mmo,mmv)-1,$B$13:$O$501,14)-pmo)))),N139/(1-VLOOKUP(MAX(mmo,mmv)-2,$B$13:$O$501,14)))</f>
        <v>#DIV/0!</v>
      </c>
      <c r="AU140" s="101" t="e">
        <f t="shared" si="88"/>
        <v>#DIV/0!</v>
      </c>
      <c r="AV140" s="287" t="e">
        <f t="shared" si="89"/>
        <v>#DIV/0!</v>
      </c>
      <c r="AW140" s="235" t="e">
        <f t="shared" si="125"/>
        <v>#DIV/0!</v>
      </c>
      <c r="AX140" s="281">
        <f>IF(B140&gt;mpfo,0,IF(B140=mpfo,(vld-teo*(1+tcfo-incc)^(MAX(mmo,mmv)-mbfo))*-1,IF(SUM($N$13:N139)&gt;=pmo,IF(($V139/ntudv)&gt;=pmv,IF(B140=MAX(mmo,mmv),-teo*(1+tcfo-incc)^(B140-mbfo),0),0),0)))</f>
        <v>0</v>
      </c>
      <c r="AY140" s="292" t="e">
        <f t="shared" si="90"/>
        <v>#DIV/0!</v>
      </c>
      <c r="AZ140" s="235" t="e">
        <f t="shared" si="126"/>
        <v>#DIV/0!</v>
      </c>
      <c r="BA140" s="269" t="e">
        <f t="shared" si="127"/>
        <v>#DIV/0!</v>
      </c>
      <c r="BB140" s="292" t="e">
        <f t="shared" si="128"/>
        <v>#DIV/0!</v>
      </c>
      <c r="BC140" s="238" t="e">
        <f>IF(SUM($BC$13:BC139)&gt;0,0,IF(BB140&gt;0,B140,0))</f>
        <v>#DIV/0!</v>
      </c>
      <c r="BD140" s="292" t="e">
        <f>IF(BB140+SUM($BD$12:BD139)&gt;=0,0,-BB140-SUM($BD$12:BD139))</f>
        <v>#DIV/0!</v>
      </c>
      <c r="BE140" s="235" t="e">
        <f>BB140+SUM($BD$12:BD140)</f>
        <v>#DIV/0!</v>
      </c>
      <c r="BF140" s="292" t="e">
        <f>-MIN(BE140:$BE$501)-SUM(BF$12:$BF139)</f>
        <v>#DIV/0!</v>
      </c>
      <c r="BG140" s="235" t="e">
        <f t="shared" si="93"/>
        <v>#DIV/0!</v>
      </c>
    </row>
    <row r="141" spans="2:59">
      <c r="B141" s="120">
        <v>128</v>
      </c>
      <c r="C141" s="241">
        <f t="shared" si="92"/>
        <v>46573</v>
      </c>
      <c r="D141" s="229">
        <f t="shared" si="94"/>
        <v>7</v>
      </c>
      <c r="E141" s="230" t="str">
        <f t="shared" si="95"/>
        <v>-</v>
      </c>
      <c r="F141" s="231">
        <f t="shared" si="96"/>
        <v>0</v>
      </c>
      <c r="G141" s="231">
        <f t="shared" si="97"/>
        <v>0</v>
      </c>
      <c r="H141" s="231">
        <f t="shared" si="98"/>
        <v>0</v>
      </c>
      <c r="I141" s="268">
        <f t="shared" ref="I141:I204" si="129">IF(cmt="SC",G141,IF(cmt="INCC",H141,IF(B141&gt;(mpt+npt),0,IF(B141&lt;(mpt+npt+1),IF(B141&gt;mpt,(vtd-vst)/npt,IF(B141=mpt,vst,0))))))*-1-F141+J141</f>
        <v>0</v>
      </c>
      <c r="J141" s="269">
        <f t="shared" si="99"/>
        <v>0</v>
      </c>
      <c r="K141" s="269">
        <f t="shared" si="100"/>
        <v>0</v>
      </c>
      <c r="L141" s="269">
        <f t="shared" ref="L141:L204" si="130">IF($B141&gt;mppe+npppe,0,IF($B141&lt;mppe+npppe,IF($B141&gt;=mppe,ppe*vgv/npppe,0),0))*-1</f>
        <v>0</v>
      </c>
      <c r="M141" s="269">
        <f t="shared" ref="M141:M204" si="131">IF($B141&gt;mppm+npppm,0,IF($B141&lt;mppm+npppm,IF($B141&gt;=mppm,ppm*vgv/npppm,0),0))*-1</f>
        <v>0</v>
      </c>
      <c r="N141" s="233">
        <f>VLOOKUP(B141,Dados!$L$86:$P$90,5)</f>
        <v>0</v>
      </c>
      <c r="O141" s="270">
        <f t="shared" si="101"/>
        <v>0.99999999999999989</v>
      </c>
      <c r="P141" s="269">
        <f t="shared" si="102"/>
        <v>0</v>
      </c>
      <c r="Q141" s="269" t="e">
        <f t="shared" si="103"/>
        <v>#DIV/0!</v>
      </c>
      <c r="R141" s="269">
        <f t="shared" si="104"/>
        <v>0</v>
      </c>
      <c r="S141" s="269" t="e">
        <f t="shared" si="105"/>
        <v>#DIV/0!</v>
      </c>
      <c r="T141" s="269" t="e">
        <f t="shared" si="91"/>
        <v>#DIV/0!</v>
      </c>
      <c r="U141" s="234">
        <f t="shared" si="106"/>
        <v>0</v>
      </c>
      <c r="V141" s="232" t="e">
        <f t="shared" si="107"/>
        <v>#DIV/0!</v>
      </c>
      <c r="W141" s="269" t="e">
        <f t="shared" si="108"/>
        <v>#DIV/0!</v>
      </c>
      <c r="X141" s="235">
        <f t="shared" ref="X141:X204" si="132">IF(B141-mlan&lt;0,0,IF(U141=0,0,IF(B141-mlan&gt;npm,vtpm*U141,(B141-mlan)*vvm*mdo/npm*U141)))</f>
        <v>0</v>
      </c>
      <c r="Y141" s="236">
        <f t="shared" si="109"/>
        <v>5</v>
      </c>
      <c r="Z141" s="236" t="e">
        <f t="shared" si="110"/>
        <v>#DIV/0!</v>
      </c>
      <c r="AA141" s="236">
        <f t="shared" si="111"/>
        <v>3</v>
      </c>
      <c r="AB141" s="236" t="e">
        <f t="shared" si="112"/>
        <v>#DIV/0!</v>
      </c>
      <c r="AC141" s="235">
        <f t="shared" si="113"/>
        <v>0</v>
      </c>
      <c r="AD141" s="235">
        <f t="shared" si="114"/>
        <v>0</v>
      </c>
      <c r="AE141" s="279">
        <f t="shared" si="115"/>
        <v>0</v>
      </c>
      <c r="AF141" s="232">
        <f t="shared" si="116"/>
        <v>0</v>
      </c>
      <c r="AG141" s="235">
        <f t="shared" si="117"/>
        <v>0</v>
      </c>
      <c r="AH141" s="269">
        <f t="shared" si="118"/>
        <v>0</v>
      </c>
      <c r="AI141" s="232">
        <f t="shared" si="119"/>
        <v>0</v>
      </c>
      <c r="AJ141" s="235">
        <f t="shared" si="120"/>
        <v>0</v>
      </c>
      <c r="AK141" s="269">
        <f t="shared" si="121"/>
        <v>0</v>
      </c>
      <c r="AL141" s="269">
        <f t="shared" ref="AL141:AL204" si="133">IF(B141=mec,cha*ntudv*vvm,0)</f>
        <v>0</v>
      </c>
      <c r="AM141" s="281" t="e">
        <f>IF(B141&gt;=mpfo,pos*vvm*Dados!$E$122*(ntudv-SUM(U142:$U$301))-SUM($AM$13:AM140),0)</f>
        <v>#DIV/0!</v>
      </c>
      <c r="AN141" s="269" t="e">
        <f t="shared" si="122"/>
        <v>#DIV/0!</v>
      </c>
      <c r="AO141" s="232" t="e">
        <f t="shared" si="123"/>
        <v>#DIV/0!</v>
      </c>
      <c r="AP141" s="242" t="e">
        <f t="shared" si="124"/>
        <v>#DIV/0!</v>
      </c>
      <c r="AQ141" s="235" t="e">
        <f>IF(AP141+SUM($AQ$12:AQ140)&gt;=0,0,-AP141-SUM($AQ$12:AQ140))</f>
        <v>#DIV/0!</v>
      </c>
      <c r="AR141" s="235">
        <f>IF(SUM($N$13:N140)&gt;=pmo,IF(SUM(N140:$N$501)&gt;(1-pmo),B141,0),0)</f>
        <v>0</v>
      </c>
      <c r="AS141" s="235" t="e">
        <f>IF((SUM($U$13:$U140)/ntudv)&gt;=pmv,IF((SUM($U140:$U$501)/ntudv)&gt;(1-pmv),B141,0),0)</f>
        <v>#DIV/0!</v>
      </c>
      <c r="AT141" s="237" t="e">
        <f>IF(MAX(mmo,mmv)=mmo,IF(B141=AR141,(SUM(N$13:$N140)-pmo)/((1-VLOOKUP(MAX(mmo,mmv)-1,$B$13:$O$501,14))+(VLOOKUP(MAX(mmo,mmv)-1,$B$13:$O$501,14)-pmo)),N140/((1-VLOOKUP(MAX(mmo,mmv)-1,$B$13:$O$501,14)+(VLOOKUP(MAX(mmo,mmv)-1,$B$13:$O$501,14)-pmo)))),N140/(1-VLOOKUP(MAX(mmo,mmv)-2,$B$13:$O$501,14)))</f>
        <v>#DIV/0!</v>
      </c>
      <c r="AU141" s="101" t="e">
        <f t="shared" ref="AU141:AU204" si="134">IF(B141=MAX(mmo,mmv),teo,0)*(1+tcfo-incc)^(B141-mbfo)</f>
        <v>#DIV/0!</v>
      </c>
      <c r="AV141" s="287" t="e">
        <f t="shared" ref="AV141:AV204" si="135">IF(B141&gt;=MAX(mmo,mmv),IF(B141&lt;(mco+2),(vfo-teo)*AT141,0),0)*(1+tcfo-incc)^(B141-mbfo)+AU141</f>
        <v>#DIV/0!</v>
      </c>
      <c r="AW141" s="235" t="e">
        <f t="shared" si="125"/>
        <v>#DIV/0!</v>
      </c>
      <c r="AX141" s="281">
        <f>IF(B141&gt;mpfo,0,IF(B141=mpfo,(vld-teo*(1+tcfo-incc)^(MAX(mmo,mmv)-mbfo))*-1,IF(SUM($N$13:N140)&gt;=pmo,IF(($V140/ntudv)&gt;=pmv,IF(B141=MAX(mmo,mmv),-teo*(1+tcfo-incc)^(B141-mbfo),0),0),0)))</f>
        <v>0</v>
      </c>
      <c r="AY141" s="292" t="e">
        <f t="shared" ref="AY141:AY204" si="136">IF(IF(cjfo="M",(AZ140)*jfo,IF(B141=mpfo,AW141+AX141,0))*-1&gt;0,0,IF(cjfo="M",(AZ140)*jfo,IF(B141=mpfo,AW141+AX141,0))*-1)</f>
        <v>#DIV/0!</v>
      </c>
      <c r="AZ141" s="235" t="e">
        <f t="shared" si="126"/>
        <v>#DIV/0!</v>
      </c>
      <c r="BA141" s="269" t="e">
        <f t="shared" si="127"/>
        <v>#DIV/0!</v>
      </c>
      <c r="BB141" s="292" t="e">
        <f t="shared" si="128"/>
        <v>#DIV/0!</v>
      </c>
      <c r="BC141" s="238" t="e">
        <f>IF(SUM($BC$13:BC140)&gt;0,0,IF(BB141&gt;0,B141,0))</f>
        <v>#DIV/0!</v>
      </c>
      <c r="BD141" s="292" t="e">
        <f>IF(BB141+SUM($BD$12:BD140)&gt;=0,0,-BB141-SUM($BD$12:BD140))</f>
        <v>#DIV/0!</v>
      </c>
      <c r="BE141" s="235" t="e">
        <f>BB141+SUM($BD$12:BD141)</f>
        <v>#DIV/0!</v>
      </c>
      <c r="BF141" s="292" t="e">
        <f>-MIN(BE141:$BE$501)-SUM(BF$12:$BF140)</f>
        <v>#DIV/0!</v>
      </c>
      <c r="BG141" s="235" t="e">
        <f t="shared" si="93"/>
        <v>#DIV/0!</v>
      </c>
    </row>
    <row r="142" spans="2:59">
      <c r="B142" s="246">
        <v>129</v>
      </c>
      <c r="C142" s="241">
        <f t="shared" si="92"/>
        <v>46604</v>
      </c>
      <c r="D142" s="229">
        <f t="shared" si="94"/>
        <v>8</v>
      </c>
      <c r="E142" s="230" t="str">
        <f t="shared" si="95"/>
        <v>-</v>
      </c>
      <c r="F142" s="231">
        <f t="shared" si="96"/>
        <v>0</v>
      </c>
      <c r="G142" s="231">
        <f t="shared" si="97"/>
        <v>0</v>
      </c>
      <c r="H142" s="231">
        <f t="shared" si="98"/>
        <v>0</v>
      </c>
      <c r="I142" s="268">
        <f t="shared" si="129"/>
        <v>0</v>
      </c>
      <c r="J142" s="269">
        <f t="shared" si="99"/>
        <v>0</v>
      </c>
      <c r="K142" s="269">
        <f t="shared" si="100"/>
        <v>0</v>
      </c>
      <c r="L142" s="269">
        <f t="shared" si="130"/>
        <v>0</v>
      </c>
      <c r="M142" s="269">
        <f t="shared" si="131"/>
        <v>0</v>
      </c>
      <c r="N142" s="233">
        <f>VLOOKUP(B142,Dados!$L$86:$P$90,5)</f>
        <v>0</v>
      </c>
      <c r="O142" s="270">
        <f t="shared" si="101"/>
        <v>0.99999999999999989</v>
      </c>
      <c r="P142" s="269">
        <f t="shared" si="102"/>
        <v>0</v>
      </c>
      <c r="Q142" s="269" t="e">
        <f t="shared" si="103"/>
        <v>#DIV/0!</v>
      </c>
      <c r="R142" s="269">
        <f t="shared" si="104"/>
        <v>0</v>
      </c>
      <c r="S142" s="269" t="e">
        <f t="shared" si="105"/>
        <v>#DIV/0!</v>
      </c>
      <c r="T142" s="269" t="e">
        <f t="shared" ref="T142:T205" si="137">S142+P142+M142+L142+K142+I142+R142+Q142</f>
        <v>#DIV/0!</v>
      </c>
      <c r="U142" s="234">
        <f t="shared" si="106"/>
        <v>0</v>
      </c>
      <c r="V142" s="232" t="e">
        <f t="shared" si="107"/>
        <v>#DIV/0!</v>
      </c>
      <c r="W142" s="269" t="e">
        <f t="shared" si="108"/>
        <v>#DIV/0!</v>
      </c>
      <c r="X142" s="235">
        <f t="shared" si="132"/>
        <v>0</v>
      </c>
      <c r="Y142" s="236">
        <f t="shared" si="109"/>
        <v>5</v>
      </c>
      <c r="Z142" s="236" t="e">
        <f t="shared" si="110"/>
        <v>#DIV/0!</v>
      </c>
      <c r="AA142" s="236">
        <f t="shared" si="111"/>
        <v>3</v>
      </c>
      <c r="AB142" s="236" t="e">
        <f t="shared" si="112"/>
        <v>#DIV/0!</v>
      </c>
      <c r="AC142" s="235">
        <f t="shared" si="113"/>
        <v>0</v>
      </c>
      <c r="AD142" s="235">
        <f t="shared" si="114"/>
        <v>0</v>
      </c>
      <c r="AE142" s="279">
        <f t="shared" si="115"/>
        <v>0</v>
      </c>
      <c r="AF142" s="232">
        <f t="shared" si="116"/>
        <v>0</v>
      </c>
      <c r="AG142" s="235">
        <f t="shared" si="117"/>
        <v>0</v>
      </c>
      <c r="AH142" s="269">
        <f t="shared" si="118"/>
        <v>0</v>
      </c>
      <c r="AI142" s="232">
        <f t="shared" si="119"/>
        <v>0</v>
      </c>
      <c r="AJ142" s="235">
        <f t="shared" si="120"/>
        <v>0</v>
      </c>
      <c r="AK142" s="269">
        <f t="shared" si="121"/>
        <v>0</v>
      </c>
      <c r="AL142" s="269">
        <f t="shared" si="133"/>
        <v>0</v>
      </c>
      <c r="AM142" s="281" t="e">
        <f>IF(B142&gt;=mpfo,pos*vvm*Dados!$E$122*(ntudv-SUM(U143:$U$301))-SUM($AM$13:AM141),0)</f>
        <v>#DIV/0!</v>
      </c>
      <c r="AN142" s="269" t="e">
        <f t="shared" si="122"/>
        <v>#DIV/0!</v>
      </c>
      <c r="AO142" s="232" t="e">
        <f t="shared" si="123"/>
        <v>#DIV/0!</v>
      </c>
      <c r="AP142" s="242" t="e">
        <f t="shared" si="124"/>
        <v>#DIV/0!</v>
      </c>
      <c r="AQ142" s="235" t="e">
        <f>IF(AP142+SUM($AQ$12:AQ141)&gt;=0,0,-AP142-SUM($AQ$12:AQ141))</f>
        <v>#DIV/0!</v>
      </c>
      <c r="AR142" s="235">
        <f>IF(SUM($N$13:N141)&gt;=pmo,IF(SUM(N141:$N$501)&gt;(1-pmo),B142,0),0)</f>
        <v>0</v>
      </c>
      <c r="AS142" s="235" t="e">
        <f>IF((SUM($U$13:$U141)/ntudv)&gt;=pmv,IF((SUM($U141:$U$501)/ntudv)&gt;(1-pmv),B142,0),0)</f>
        <v>#DIV/0!</v>
      </c>
      <c r="AT142" s="237" t="e">
        <f>IF(MAX(mmo,mmv)=mmo,IF(B142=AR142,(SUM(N$13:$N141)-pmo)/((1-VLOOKUP(MAX(mmo,mmv)-1,$B$13:$O$501,14))+(VLOOKUP(MAX(mmo,mmv)-1,$B$13:$O$501,14)-pmo)),N141/((1-VLOOKUP(MAX(mmo,mmv)-1,$B$13:$O$501,14)+(VLOOKUP(MAX(mmo,mmv)-1,$B$13:$O$501,14)-pmo)))),N141/(1-VLOOKUP(MAX(mmo,mmv)-2,$B$13:$O$501,14)))</f>
        <v>#DIV/0!</v>
      </c>
      <c r="AU142" s="101" t="e">
        <f t="shared" si="134"/>
        <v>#DIV/0!</v>
      </c>
      <c r="AV142" s="287" t="e">
        <f t="shared" si="135"/>
        <v>#DIV/0!</v>
      </c>
      <c r="AW142" s="235" t="e">
        <f t="shared" si="125"/>
        <v>#DIV/0!</v>
      </c>
      <c r="AX142" s="281">
        <f>IF(B142&gt;mpfo,0,IF(B142=mpfo,(vld-teo*(1+tcfo-incc)^(MAX(mmo,mmv)-mbfo))*-1,IF(SUM($N$13:N141)&gt;=pmo,IF(($V141/ntudv)&gt;=pmv,IF(B142=MAX(mmo,mmv),-teo*(1+tcfo-incc)^(B142-mbfo),0),0),0)))</f>
        <v>0</v>
      </c>
      <c r="AY142" s="292" t="e">
        <f t="shared" si="136"/>
        <v>#DIV/0!</v>
      </c>
      <c r="AZ142" s="235" t="e">
        <f t="shared" si="126"/>
        <v>#DIV/0!</v>
      </c>
      <c r="BA142" s="269" t="e">
        <f t="shared" si="127"/>
        <v>#DIV/0!</v>
      </c>
      <c r="BB142" s="292" t="e">
        <f t="shared" si="128"/>
        <v>#DIV/0!</v>
      </c>
      <c r="BC142" s="238" t="e">
        <f>IF(SUM($BC$13:BC141)&gt;0,0,IF(BB142&gt;0,B142,0))</f>
        <v>#DIV/0!</v>
      </c>
      <c r="BD142" s="292" t="e">
        <f>IF(BB142+SUM($BD$12:BD141)&gt;=0,0,-BB142-SUM($BD$12:BD141))</f>
        <v>#DIV/0!</v>
      </c>
      <c r="BE142" s="235" t="e">
        <f>BB142+SUM($BD$12:BD142)</f>
        <v>#DIV/0!</v>
      </c>
      <c r="BF142" s="292" t="e">
        <f>-MIN(BE142:$BE$501)-SUM(BF$12:$BF141)</f>
        <v>#DIV/0!</v>
      </c>
      <c r="BG142" s="235" t="e">
        <f t="shared" si="93"/>
        <v>#DIV/0!</v>
      </c>
    </row>
    <row r="143" spans="2:59">
      <c r="B143" s="120">
        <v>130</v>
      </c>
      <c r="C143" s="241">
        <f t="shared" ref="C143:C206" si="138">DATE(YEAR(C142),MONTH(C142)+1,DAY(C142))</f>
        <v>46635</v>
      </c>
      <c r="D143" s="229">
        <f t="shared" si="94"/>
        <v>9</v>
      </c>
      <c r="E143" s="230" t="str">
        <f t="shared" si="95"/>
        <v>-</v>
      </c>
      <c r="F143" s="231">
        <f t="shared" si="96"/>
        <v>0</v>
      </c>
      <c r="G143" s="231">
        <f t="shared" si="97"/>
        <v>0</v>
      </c>
      <c r="H143" s="231">
        <f t="shared" si="98"/>
        <v>0</v>
      </c>
      <c r="I143" s="268">
        <f t="shared" si="129"/>
        <v>0</v>
      </c>
      <c r="J143" s="269">
        <f t="shared" si="99"/>
        <v>0</v>
      </c>
      <c r="K143" s="269">
        <f t="shared" si="100"/>
        <v>0</v>
      </c>
      <c r="L143" s="269">
        <f t="shared" si="130"/>
        <v>0</v>
      </c>
      <c r="M143" s="269">
        <f t="shared" si="131"/>
        <v>0</v>
      </c>
      <c r="N143" s="233">
        <f>VLOOKUP(B143,Dados!$L$86:$P$90,5)</f>
        <v>0</v>
      </c>
      <c r="O143" s="270">
        <f t="shared" si="101"/>
        <v>0.99999999999999989</v>
      </c>
      <c r="P143" s="269">
        <f t="shared" si="102"/>
        <v>0</v>
      </c>
      <c r="Q143" s="269" t="e">
        <f t="shared" si="103"/>
        <v>#DIV/0!</v>
      </c>
      <c r="R143" s="269">
        <f t="shared" si="104"/>
        <v>0</v>
      </c>
      <c r="S143" s="269" t="e">
        <f t="shared" si="105"/>
        <v>#DIV/0!</v>
      </c>
      <c r="T143" s="269" t="e">
        <f t="shared" si="137"/>
        <v>#DIV/0!</v>
      </c>
      <c r="U143" s="234">
        <f t="shared" si="106"/>
        <v>0</v>
      </c>
      <c r="V143" s="232" t="e">
        <f t="shared" si="107"/>
        <v>#DIV/0!</v>
      </c>
      <c r="W143" s="269" t="e">
        <f t="shared" si="108"/>
        <v>#DIV/0!</v>
      </c>
      <c r="X143" s="235">
        <f t="shared" si="132"/>
        <v>0</v>
      </c>
      <c r="Y143" s="236">
        <f t="shared" si="109"/>
        <v>5</v>
      </c>
      <c r="Z143" s="236" t="e">
        <f t="shared" si="110"/>
        <v>#DIV/0!</v>
      </c>
      <c r="AA143" s="236">
        <f t="shared" si="111"/>
        <v>3</v>
      </c>
      <c r="AB143" s="236" t="e">
        <f t="shared" si="112"/>
        <v>#DIV/0!</v>
      </c>
      <c r="AC143" s="235">
        <f t="shared" si="113"/>
        <v>0</v>
      </c>
      <c r="AD143" s="235">
        <f t="shared" si="114"/>
        <v>0</v>
      </c>
      <c r="AE143" s="279">
        <f t="shared" si="115"/>
        <v>0</v>
      </c>
      <c r="AF143" s="232">
        <f t="shared" si="116"/>
        <v>0</v>
      </c>
      <c r="AG143" s="235">
        <f t="shared" si="117"/>
        <v>0</v>
      </c>
      <c r="AH143" s="269">
        <f t="shared" si="118"/>
        <v>0</v>
      </c>
      <c r="AI143" s="232">
        <f t="shared" si="119"/>
        <v>0</v>
      </c>
      <c r="AJ143" s="235">
        <f t="shared" si="120"/>
        <v>0</v>
      </c>
      <c r="AK143" s="269">
        <f t="shared" si="121"/>
        <v>0</v>
      </c>
      <c r="AL143" s="269">
        <f t="shared" si="133"/>
        <v>0</v>
      </c>
      <c r="AM143" s="281" t="e">
        <f>IF(B143&gt;=mpfo,pos*vvm*Dados!$E$122*(ntudv-SUM(U144:$U$301))-SUM($AM$13:AM142),0)</f>
        <v>#DIV/0!</v>
      </c>
      <c r="AN143" s="269" t="e">
        <f t="shared" si="122"/>
        <v>#DIV/0!</v>
      </c>
      <c r="AO143" s="232" t="e">
        <f t="shared" si="123"/>
        <v>#DIV/0!</v>
      </c>
      <c r="AP143" s="242" t="e">
        <f t="shared" si="124"/>
        <v>#DIV/0!</v>
      </c>
      <c r="AQ143" s="235" t="e">
        <f>IF(AP143+SUM($AQ$12:AQ142)&gt;=0,0,-AP143-SUM($AQ$12:AQ142))</f>
        <v>#DIV/0!</v>
      </c>
      <c r="AR143" s="235">
        <f>IF(SUM($N$13:N142)&gt;=pmo,IF(SUM(N142:$N$501)&gt;(1-pmo),B143,0),0)</f>
        <v>0</v>
      </c>
      <c r="AS143" s="235" t="e">
        <f>IF((SUM($U$13:$U142)/ntudv)&gt;=pmv,IF((SUM($U142:$U$501)/ntudv)&gt;(1-pmv),B143,0),0)</f>
        <v>#DIV/0!</v>
      </c>
      <c r="AT143" s="237" t="e">
        <f>IF(MAX(mmo,mmv)=mmo,IF(B143=AR143,(SUM(N$13:$N142)-pmo)/((1-VLOOKUP(MAX(mmo,mmv)-1,$B$13:$O$501,14))+(VLOOKUP(MAX(mmo,mmv)-1,$B$13:$O$501,14)-pmo)),N142/((1-VLOOKUP(MAX(mmo,mmv)-1,$B$13:$O$501,14)+(VLOOKUP(MAX(mmo,mmv)-1,$B$13:$O$501,14)-pmo)))),N142/(1-VLOOKUP(MAX(mmo,mmv)-2,$B$13:$O$501,14)))</f>
        <v>#DIV/0!</v>
      </c>
      <c r="AU143" s="101" t="e">
        <f t="shared" si="134"/>
        <v>#DIV/0!</v>
      </c>
      <c r="AV143" s="287" t="e">
        <f t="shared" si="135"/>
        <v>#DIV/0!</v>
      </c>
      <c r="AW143" s="235" t="e">
        <f t="shared" si="125"/>
        <v>#DIV/0!</v>
      </c>
      <c r="AX143" s="281">
        <f>IF(B143&gt;mpfo,0,IF(B143=mpfo,(vld-teo*(1+tcfo-incc)^(MAX(mmo,mmv)-mbfo))*-1,IF(SUM($N$13:N142)&gt;=pmo,IF(($V142/ntudv)&gt;=pmv,IF(B143=MAX(mmo,mmv),-teo*(1+tcfo-incc)^(B143-mbfo),0),0),0)))</f>
        <v>0</v>
      </c>
      <c r="AY143" s="292" t="e">
        <f t="shared" si="136"/>
        <v>#DIV/0!</v>
      </c>
      <c r="AZ143" s="235" t="e">
        <f t="shared" si="126"/>
        <v>#DIV/0!</v>
      </c>
      <c r="BA143" s="269" t="e">
        <f t="shared" si="127"/>
        <v>#DIV/0!</v>
      </c>
      <c r="BB143" s="292" t="e">
        <f t="shared" si="128"/>
        <v>#DIV/0!</v>
      </c>
      <c r="BC143" s="238" t="e">
        <f>IF(SUM($BC$13:BC142)&gt;0,0,IF(BB143&gt;0,B143,0))</f>
        <v>#DIV/0!</v>
      </c>
      <c r="BD143" s="292" t="e">
        <f>IF(BB143+SUM($BD$12:BD142)&gt;=0,0,-BB143-SUM($BD$12:BD142))</f>
        <v>#DIV/0!</v>
      </c>
      <c r="BE143" s="235" t="e">
        <f>BB143+SUM($BD$12:BD143)</f>
        <v>#DIV/0!</v>
      </c>
      <c r="BF143" s="292" t="e">
        <f>-MIN(BE143:$BE$501)-SUM(BF$12:$BF142)</f>
        <v>#DIV/0!</v>
      </c>
      <c r="BG143" s="235" t="e">
        <f t="shared" ref="BG143:BG206" si="139">BF143</f>
        <v>#DIV/0!</v>
      </c>
    </row>
    <row r="144" spans="2:59">
      <c r="B144" s="246">
        <v>131</v>
      </c>
      <c r="C144" s="241">
        <f t="shared" si="138"/>
        <v>46665</v>
      </c>
      <c r="D144" s="229">
        <f t="shared" si="94"/>
        <v>10</v>
      </c>
      <c r="E144" s="230" t="str">
        <f t="shared" si="95"/>
        <v>-</v>
      </c>
      <c r="F144" s="231">
        <f t="shared" si="96"/>
        <v>0</v>
      </c>
      <c r="G144" s="231">
        <f t="shared" si="97"/>
        <v>0</v>
      </c>
      <c r="H144" s="231">
        <f t="shared" si="98"/>
        <v>0</v>
      </c>
      <c r="I144" s="268">
        <f t="shared" si="129"/>
        <v>0</v>
      </c>
      <c r="J144" s="269">
        <f t="shared" si="99"/>
        <v>0</v>
      </c>
      <c r="K144" s="269">
        <f t="shared" si="100"/>
        <v>0</v>
      </c>
      <c r="L144" s="269">
        <f t="shared" si="130"/>
        <v>0</v>
      </c>
      <c r="M144" s="269">
        <f t="shared" si="131"/>
        <v>0</v>
      </c>
      <c r="N144" s="233">
        <f>VLOOKUP(B144,Dados!$L$86:$P$90,5)</f>
        <v>0</v>
      </c>
      <c r="O144" s="270">
        <f t="shared" si="101"/>
        <v>0.99999999999999989</v>
      </c>
      <c r="P144" s="269">
        <f t="shared" si="102"/>
        <v>0</v>
      </c>
      <c r="Q144" s="269" t="e">
        <f t="shared" si="103"/>
        <v>#DIV/0!</v>
      </c>
      <c r="R144" s="269">
        <f t="shared" si="104"/>
        <v>0</v>
      </c>
      <c r="S144" s="269" t="e">
        <f t="shared" si="105"/>
        <v>#DIV/0!</v>
      </c>
      <c r="T144" s="269" t="e">
        <f t="shared" si="137"/>
        <v>#DIV/0!</v>
      </c>
      <c r="U144" s="234">
        <f t="shared" si="106"/>
        <v>0</v>
      </c>
      <c r="V144" s="232" t="e">
        <f t="shared" si="107"/>
        <v>#DIV/0!</v>
      </c>
      <c r="W144" s="269" t="e">
        <f t="shared" si="108"/>
        <v>#DIV/0!</v>
      </c>
      <c r="X144" s="235">
        <f t="shared" si="132"/>
        <v>0</v>
      </c>
      <c r="Y144" s="236">
        <f t="shared" si="109"/>
        <v>5</v>
      </c>
      <c r="Z144" s="236" t="e">
        <f t="shared" si="110"/>
        <v>#DIV/0!</v>
      </c>
      <c r="AA144" s="236">
        <f t="shared" si="111"/>
        <v>3</v>
      </c>
      <c r="AB144" s="236" t="e">
        <f t="shared" si="112"/>
        <v>#DIV/0!</v>
      </c>
      <c r="AC144" s="235">
        <f t="shared" si="113"/>
        <v>0</v>
      </c>
      <c r="AD144" s="235">
        <f t="shared" si="114"/>
        <v>0</v>
      </c>
      <c r="AE144" s="279">
        <f t="shared" si="115"/>
        <v>0</v>
      </c>
      <c r="AF144" s="232">
        <f t="shared" si="116"/>
        <v>0</v>
      </c>
      <c r="AG144" s="235">
        <f t="shared" si="117"/>
        <v>0</v>
      </c>
      <c r="AH144" s="269">
        <f t="shared" si="118"/>
        <v>0</v>
      </c>
      <c r="AI144" s="232">
        <f t="shared" si="119"/>
        <v>0</v>
      </c>
      <c r="AJ144" s="235">
        <f t="shared" si="120"/>
        <v>0</v>
      </c>
      <c r="AK144" s="269">
        <f t="shared" si="121"/>
        <v>0</v>
      </c>
      <c r="AL144" s="269">
        <f t="shared" si="133"/>
        <v>0</v>
      </c>
      <c r="AM144" s="281" t="e">
        <f>IF(B144&gt;=mpfo,pos*vvm*Dados!$E$122*(ntudv-SUM(U145:$U$301))-SUM($AM$13:AM143),0)</f>
        <v>#DIV/0!</v>
      </c>
      <c r="AN144" s="269" t="e">
        <f t="shared" si="122"/>
        <v>#DIV/0!</v>
      </c>
      <c r="AO144" s="232" t="e">
        <f t="shared" si="123"/>
        <v>#DIV/0!</v>
      </c>
      <c r="AP144" s="242" t="e">
        <f t="shared" si="124"/>
        <v>#DIV/0!</v>
      </c>
      <c r="AQ144" s="235" t="e">
        <f>IF(AP144+SUM($AQ$12:AQ143)&gt;=0,0,-AP144-SUM($AQ$12:AQ143))</f>
        <v>#DIV/0!</v>
      </c>
      <c r="AR144" s="235">
        <f>IF(SUM($N$13:N143)&gt;=pmo,IF(SUM(N143:$N$501)&gt;(1-pmo),B144,0),0)</f>
        <v>0</v>
      </c>
      <c r="AS144" s="235" t="e">
        <f>IF((SUM($U$13:$U143)/ntudv)&gt;=pmv,IF((SUM($U143:$U$501)/ntudv)&gt;(1-pmv),B144,0),0)</f>
        <v>#DIV/0!</v>
      </c>
      <c r="AT144" s="237" t="e">
        <f>IF(MAX(mmo,mmv)=mmo,IF(B144=AR144,(SUM(N$13:$N143)-pmo)/((1-VLOOKUP(MAX(mmo,mmv)-1,$B$13:$O$501,14))+(VLOOKUP(MAX(mmo,mmv)-1,$B$13:$O$501,14)-pmo)),N143/((1-VLOOKUP(MAX(mmo,mmv)-1,$B$13:$O$501,14)+(VLOOKUP(MAX(mmo,mmv)-1,$B$13:$O$501,14)-pmo)))),N143/(1-VLOOKUP(MAX(mmo,mmv)-2,$B$13:$O$501,14)))</f>
        <v>#DIV/0!</v>
      </c>
      <c r="AU144" s="101" t="e">
        <f t="shared" si="134"/>
        <v>#DIV/0!</v>
      </c>
      <c r="AV144" s="287" t="e">
        <f t="shared" si="135"/>
        <v>#DIV/0!</v>
      </c>
      <c r="AW144" s="235" t="e">
        <f t="shared" si="125"/>
        <v>#DIV/0!</v>
      </c>
      <c r="AX144" s="281">
        <f>IF(B144&gt;mpfo,0,IF(B144=mpfo,(vld-teo*(1+tcfo-incc)^(MAX(mmo,mmv)-mbfo))*-1,IF(SUM($N$13:N143)&gt;=pmo,IF(($V143/ntudv)&gt;=pmv,IF(B144=MAX(mmo,mmv),-teo*(1+tcfo-incc)^(B144-mbfo),0),0),0)))</f>
        <v>0</v>
      </c>
      <c r="AY144" s="292" t="e">
        <f t="shared" si="136"/>
        <v>#DIV/0!</v>
      </c>
      <c r="AZ144" s="235" t="e">
        <f t="shared" si="126"/>
        <v>#DIV/0!</v>
      </c>
      <c r="BA144" s="269" t="e">
        <f t="shared" si="127"/>
        <v>#DIV/0!</v>
      </c>
      <c r="BB144" s="292" t="e">
        <f t="shared" si="128"/>
        <v>#DIV/0!</v>
      </c>
      <c r="BC144" s="238" t="e">
        <f>IF(SUM($BC$13:BC143)&gt;0,0,IF(BB144&gt;0,B144,0))</f>
        <v>#DIV/0!</v>
      </c>
      <c r="BD144" s="292" t="e">
        <f>IF(BB144+SUM($BD$12:BD143)&gt;=0,0,-BB144-SUM($BD$12:BD143))</f>
        <v>#DIV/0!</v>
      </c>
      <c r="BE144" s="235" t="e">
        <f>BB144+SUM($BD$12:BD144)</f>
        <v>#DIV/0!</v>
      </c>
      <c r="BF144" s="292" t="e">
        <f>-MIN(BE144:$BE$501)-SUM(BF$12:$BF143)</f>
        <v>#DIV/0!</v>
      </c>
      <c r="BG144" s="235" t="e">
        <f t="shared" si="139"/>
        <v>#DIV/0!</v>
      </c>
    </row>
    <row r="145" spans="2:59">
      <c r="B145" s="120">
        <v>132</v>
      </c>
      <c r="C145" s="241">
        <f t="shared" si="138"/>
        <v>46696</v>
      </c>
      <c r="D145" s="229">
        <f t="shared" si="94"/>
        <v>11</v>
      </c>
      <c r="E145" s="230" t="str">
        <f t="shared" si="95"/>
        <v>-</v>
      </c>
      <c r="F145" s="231">
        <f t="shared" si="96"/>
        <v>0</v>
      </c>
      <c r="G145" s="231">
        <f t="shared" si="97"/>
        <v>0</v>
      </c>
      <c r="H145" s="231">
        <f t="shared" si="98"/>
        <v>0</v>
      </c>
      <c r="I145" s="268">
        <f t="shared" si="129"/>
        <v>0</v>
      </c>
      <c r="J145" s="269">
        <f t="shared" si="99"/>
        <v>0</v>
      </c>
      <c r="K145" s="269">
        <f t="shared" si="100"/>
        <v>0</v>
      </c>
      <c r="L145" s="269">
        <f t="shared" si="130"/>
        <v>0</v>
      </c>
      <c r="M145" s="269">
        <f t="shared" si="131"/>
        <v>0</v>
      </c>
      <c r="N145" s="233">
        <f>VLOOKUP(B145,Dados!$L$86:$P$90,5)</f>
        <v>0</v>
      </c>
      <c r="O145" s="270">
        <f t="shared" si="101"/>
        <v>0.99999999999999989</v>
      </c>
      <c r="P145" s="269">
        <f t="shared" si="102"/>
        <v>0</v>
      </c>
      <c r="Q145" s="269" t="e">
        <f t="shared" si="103"/>
        <v>#DIV/0!</v>
      </c>
      <c r="R145" s="269">
        <f t="shared" si="104"/>
        <v>0</v>
      </c>
      <c r="S145" s="269" t="e">
        <f t="shared" si="105"/>
        <v>#DIV/0!</v>
      </c>
      <c r="T145" s="269" t="e">
        <f t="shared" si="137"/>
        <v>#DIV/0!</v>
      </c>
      <c r="U145" s="234">
        <f t="shared" si="106"/>
        <v>0</v>
      </c>
      <c r="V145" s="232" t="e">
        <f t="shared" si="107"/>
        <v>#DIV/0!</v>
      </c>
      <c r="W145" s="269" t="e">
        <f t="shared" si="108"/>
        <v>#DIV/0!</v>
      </c>
      <c r="X145" s="235">
        <f t="shared" si="132"/>
        <v>0</v>
      </c>
      <c r="Y145" s="236">
        <f t="shared" si="109"/>
        <v>5</v>
      </c>
      <c r="Z145" s="236" t="e">
        <f t="shared" si="110"/>
        <v>#DIV/0!</v>
      </c>
      <c r="AA145" s="236">
        <f t="shared" si="111"/>
        <v>3</v>
      </c>
      <c r="AB145" s="236" t="e">
        <f t="shared" si="112"/>
        <v>#DIV/0!</v>
      </c>
      <c r="AC145" s="235">
        <f t="shared" si="113"/>
        <v>0</v>
      </c>
      <c r="AD145" s="235">
        <f t="shared" si="114"/>
        <v>0</v>
      </c>
      <c r="AE145" s="279">
        <f t="shared" si="115"/>
        <v>0</v>
      </c>
      <c r="AF145" s="232">
        <f t="shared" si="116"/>
        <v>0</v>
      </c>
      <c r="AG145" s="235">
        <f t="shared" si="117"/>
        <v>0</v>
      </c>
      <c r="AH145" s="269">
        <f t="shared" si="118"/>
        <v>0</v>
      </c>
      <c r="AI145" s="232">
        <f t="shared" si="119"/>
        <v>0</v>
      </c>
      <c r="AJ145" s="235">
        <f t="shared" si="120"/>
        <v>0</v>
      </c>
      <c r="AK145" s="269">
        <f t="shared" si="121"/>
        <v>0</v>
      </c>
      <c r="AL145" s="269">
        <f t="shared" si="133"/>
        <v>0</v>
      </c>
      <c r="AM145" s="281" t="e">
        <f>IF(B145&gt;=mpfo,pos*vvm*Dados!$E$122*(ntudv-SUM(U146:$U$301))-SUM($AM$13:AM144),0)</f>
        <v>#DIV/0!</v>
      </c>
      <c r="AN145" s="269" t="e">
        <f t="shared" si="122"/>
        <v>#DIV/0!</v>
      </c>
      <c r="AO145" s="232" t="e">
        <f t="shared" si="123"/>
        <v>#DIV/0!</v>
      </c>
      <c r="AP145" s="242" t="e">
        <f t="shared" si="124"/>
        <v>#DIV/0!</v>
      </c>
      <c r="AQ145" s="235" t="e">
        <f>IF(AP145+SUM($AQ$12:AQ144)&gt;=0,0,-AP145-SUM($AQ$12:AQ144))</f>
        <v>#DIV/0!</v>
      </c>
      <c r="AR145" s="235">
        <f>IF(SUM($N$13:N144)&gt;=pmo,IF(SUM(N144:$N$501)&gt;(1-pmo),B145,0),0)</f>
        <v>0</v>
      </c>
      <c r="AS145" s="235" t="e">
        <f>IF((SUM($U$13:$U144)/ntudv)&gt;=pmv,IF((SUM($U144:$U$501)/ntudv)&gt;(1-pmv),B145,0),0)</f>
        <v>#DIV/0!</v>
      </c>
      <c r="AT145" s="237" t="e">
        <f>IF(MAX(mmo,mmv)=mmo,IF(B145=AR145,(SUM(N$13:$N144)-pmo)/((1-VLOOKUP(MAX(mmo,mmv)-1,$B$13:$O$501,14))+(VLOOKUP(MAX(mmo,mmv)-1,$B$13:$O$501,14)-pmo)),N144/((1-VLOOKUP(MAX(mmo,mmv)-1,$B$13:$O$501,14)+(VLOOKUP(MAX(mmo,mmv)-1,$B$13:$O$501,14)-pmo)))),N144/(1-VLOOKUP(MAX(mmo,mmv)-2,$B$13:$O$501,14)))</f>
        <v>#DIV/0!</v>
      </c>
      <c r="AU145" s="101" t="e">
        <f t="shared" si="134"/>
        <v>#DIV/0!</v>
      </c>
      <c r="AV145" s="287" t="e">
        <f t="shared" si="135"/>
        <v>#DIV/0!</v>
      </c>
      <c r="AW145" s="235" t="e">
        <f t="shared" si="125"/>
        <v>#DIV/0!</v>
      </c>
      <c r="AX145" s="281">
        <f>IF(B145&gt;mpfo,0,IF(B145=mpfo,(vld-teo*(1+tcfo-incc)^(MAX(mmo,mmv)-mbfo))*-1,IF(SUM($N$13:N144)&gt;=pmo,IF(($V144/ntudv)&gt;=pmv,IF(B145=MAX(mmo,mmv),-teo*(1+tcfo-incc)^(B145-mbfo),0),0),0)))</f>
        <v>0</v>
      </c>
      <c r="AY145" s="292" t="e">
        <f t="shared" si="136"/>
        <v>#DIV/0!</v>
      </c>
      <c r="AZ145" s="235" t="e">
        <f t="shared" si="126"/>
        <v>#DIV/0!</v>
      </c>
      <c r="BA145" s="269" t="e">
        <f t="shared" si="127"/>
        <v>#DIV/0!</v>
      </c>
      <c r="BB145" s="292" t="e">
        <f t="shared" si="128"/>
        <v>#DIV/0!</v>
      </c>
      <c r="BC145" s="238" t="e">
        <f>IF(SUM($BC$13:BC144)&gt;0,0,IF(BB145&gt;0,B145,0))</f>
        <v>#DIV/0!</v>
      </c>
      <c r="BD145" s="292" t="e">
        <f>IF(BB145+SUM($BD$12:BD144)&gt;=0,0,-BB145-SUM($BD$12:BD144))</f>
        <v>#DIV/0!</v>
      </c>
      <c r="BE145" s="235" t="e">
        <f>BB145+SUM($BD$12:BD145)</f>
        <v>#DIV/0!</v>
      </c>
      <c r="BF145" s="292" t="e">
        <f>-MIN(BE145:$BE$501)-SUM(BF$12:$BF144)</f>
        <v>#DIV/0!</v>
      </c>
      <c r="BG145" s="235" t="e">
        <f t="shared" si="139"/>
        <v>#DIV/0!</v>
      </c>
    </row>
    <row r="146" spans="2:59">
      <c r="B146" s="246">
        <v>133</v>
      </c>
      <c r="C146" s="241">
        <f t="shared" si="138"/>
        <v>46726</v>
      </c>
      <c r="D146" s="229">
        <f t="shared" si="94"/>
        <v>12</v>
      </c>
      <c r="E146" s="230" t="str">
        <f t="shared" si="95"/>
        <v>-</v>
      </c>
      <c r="F146" s="231">
        <f t="shared" si="96"/>
        <v>0</v>
      </c>
      <c r="G146" s="231">
        <f t="shared" si="97"/>
        <v>0</v>
      </c>
      <c r="H146" s="231">
        <f t="shared" si="98"/>
        <v>0</v>
      </c>
      <c r="I146" s="268">
        <f t="shared" si="129"/>
        <v>0</v>
      </c>
      <c r="J146" s="269">
        <f t="shared" si="99"/>
        <v>0</v>
      </c>
      <c r="K146" s="269">
        <f t="shared" si="100"/>
        <v>0</v>
      </c>
      <c r="L146" s="269">
        <f t="shared" si="130"/>
        <v>0</v>
      </c>
      <c r="M146" s="269">
        <f t="shared" si="131"/>
        <v>0</v>
      </c>
      <c r="N146" s="233">
        <f>VLOOKUP(B146,Dados!$L$86:$P$90,5)</f>
        <v>0</v>
      </c>
      <c r="O146" s="270">
        <f t="shared" si="101"/>
        <v>0.99999999999999989</v>
      </c>
      <c r="P146" s="269">
        <f t="shared" si="102"/>
        <v>0</v>
      </c>
      <c r="Q146" s="269" t="e">
        <f t="shared" si="103"/>
        <v>#DIV/0!</v>
      </c>
      <c r="R146" s="269">
        <f t="shared" si="104"/>
        <v>0</v>
      </c>
      <c r="S146" s="269" t="e">
        <f t="shared" si="105"/>
        <v>#DIV/0!</v>
      </c>
      <c r="T146" s="269" t="e">
        <f t="shared" si="137"/>
        <v>#DIV/0!</v>
      </c>
      <c r="U146" s="234">
        <f t="shared" si="106"/>
        <v>0</v>
      </c>
      <c r="V146" s="232" t="e">
        <f t="shared" si="107"/>
        <v>#DIV/0!</v>
      </c>
      <c r="W146" s="269" t="e">
        <f t="shared" si="108"/>
        <v>#DIV/0!</v>
      </c>
      <c r="X146" s="235">
        <f t="shared" si="132"/>
        <v>0</v>
      </c>
      <c r="Y146" s="236">
        <f t="shared" si="109"/>
        <v>5</v>
      </c>
      <c r="Z146" s="236" t="e">
        <f t="shared" si="110"/>
        <v>#DIV/0!</v>
      </c>
      <c r="AA146" s="236">
        <f t="shared" si="111"/>
        <v>3</v>
      </c>
      <c r="AB146" s="236" t="e">
        <f t="shared" si="112"/>
        <v>#DIV/0!</v>
      </c>
      <c r="AC146" s="235">
        <f t="shared" si="113"/>
        <v>0</v>
      </c>
      <c r="AD146" s="235">
        <f t="shared" si="114"/>
        <v>0</v>
      </c>
      <c r="AE146" s="279">
        <f t="shared" si="115"/>
        <v>0</v>
      </c>
      <c r="AF146" s="232">
        <f t="shared" si="116"/>
        <v>1</v>
      </c>
      <c r="AG146" s="235">
        <f t="shared" si="117"/>
        <v>0</v>
      </c>
      <c r="AH146" s="269">
        <f t="shared" si="118"/>
        <v>0</v>
      </c>
      <c r="AI146" s="232">
        <f t="shared" si="119"/>
        <v>1</v>
      </c>
      <c r="AJ146" s="235">
        <f t="shared" si="120"/>
        <v>0</v>
      </c>
      <c r="AK146" s="269">
        <f t="shared" si="121"/>
        <v>0</v>
      </c>
      <c r="AL146" s="269">
        <f t="shared" si="133"/>
        <v>0</v>
      </c>
      <c r="AM146" s="281" t="e">
        <f>IF(B146&gt;=mpfo,pos*vvm*Dados!$E$122*(ntudv-SUM(U147:$U$301))-SUM($AM$13:AM145),0)</f>
        <v>#DIV/0!</v>
      </c>
      <c r="AN146" s="269" t="e">
        <f t="shared" si="122"/>
        <v>#DIV/0!</v>
      </c>
      <c r="AO146" s="232" t="e">
        <f t="shared" si="123"/>
        <v>#DIV/0!</v>
      </c>
      <c r="AP146" s="242" t="e">
        <f t="shared" si="124"/>
        <v>#DIV/0!</v>
      </c>
      <c r="AQ146" s="235" t="e">
        <f>IF(AP146+SUM($AQ$12:AQ145)&gt;=0,0,-AP146-SUM($AQ$12:AQ145))</f>
        <v>#DIV/0!</v>
      </c>
      <c r="AR146" s="235">
        <f>IF(SUM($N$13:N145)&gt;=pmo,IF(SUM(N145:$N$501)&gt;(1-pmo),B146,0),0)</f>
        <v>0</v>
      </c>
      <c r="AS146" s="235" t="e">
        <f>IF((SUM($U$13:$U145)/ntudv)&gt;=pmv,IF((SUM($U145:$U$501)/ntudv)&gt;(1-pmv),B146,0),0)</f>
        <v>#DIV/0!</v>
      </c>
      <c r="AT146" s="237" t="e">
        <f>IF(MAX(mmo,mmv)=mmo,IF(B146=AR146,(SUM(N$13:$N145)-pmo)/((1-VLOOKUP(MAX(mmo,mmv)-1,$B$13:$O$501,14))+(VLOOKUP(MAX(mmo,mmv)-1,$B$13:$O$501,14)-pmo)),N145/((1-VLOOKUP(MAX(mmo,mmv)-1,$B$13:$O$501,14)+(VLOOKUP(MAX(mmo,mmv)-1,$B$13:$O$501,14)-pmo)))),N145/(1-VLOOKUP(MAX(mmo,mmv)-2,$B$13:$O$501,14)))</f>
        <v>#DIV/0!</v>
      </c>
      <c r="AU146" s="101" t="e">
        <f t="shared" si="134"/>
        <v>#DIV/0!</v>
      </c>
      <c r="AV146" s="287" t="e">
        <f t="shared" si="135"/>
        <v>#DIV/0!</v>
      </c>
      <c r="AW146" s="235" t="e">
        <f t="shared" si="125"/>
        <v>#DIV/0!</v>
      </c>
      <c r="AX146" s="281">
        <f>IF(B146&gt;mpfo,0,IF(B146=mpfo,(vld-teo*(1+tcfo-incc)^(MAX(mmo,mmv)-mbfo))*-1,IF(SUM($N$13:N145)&gt;=pmo,IF(($V145/ntudv)&gt;=pmv,IF(B146=MAX(mmo,mmv),-teo*(1+tcfo-incc)^(B146-mbfo),0),0),0)))</f>
        <v>0</v>
      </c>
      <c r="AY146" s="292" t="e">
        <f t="shared" si="136"/>
        <v>#DIV/0!</v>
      </c>
      <c r="AZ146" s="235" t="e">
        <f t="shared" si="126"/>
        <v>#DIV/0!</v>
      </c>
      <c r="BA146" s="269" t="e">
        <f t="shared" si="127"/>
        <v>#DIV/0!</v>
      </c>
      <c r="BB146" s="292" t="e">
        <f t="shared" si="128"/>
        <v>#DIV/0!</v>
      </c>
      <c r="BC146" s="238" t="e">
        <f>IF(SUM($BC$13:BC145)&gt;0,0,IF(BB146&gt;0,B146,0))</f>
        <v>#DIV/0!</v>
      </c>
      <c r="BD146" s="292" t="e">
        <f>IF(BB146+SUM($BD$12:BD145)&gt;=0,0,-BB146-SUM($BD$12:BD145))</f>
        <v>#DIV/0!</v>
      </c>
      <c r="BE146" s="235" t="e">
        <f>BB146+SUM($BD$12:BD146)</f>
        <v>#DIV/0!</v>
      </c>
      <c r="BF146" s="292" t="e">
        <f>-MIN(BE146:$BE$501)-SUM(BF$12:$BF145)</f>
        <v>#DIV/0!</v>
      </c>
      <c r="BG146" s="235" t="e">
        <f t="shared" si="139"/>
        <v>#DIV/0!</v>
      </c>
    </row>
    <row r="147" spans="2:59">
      <c r="B147" s="120">
        <v>134</v>
      </c>
      <c r="C147" s="241">
        <f t="shared" si="138"/>
        <v>46757</v>
      </c>
      <c r="D147" s="229">
        <f t="shared" si="94"/>
        <v>1</v>
      </c>
      <c r="E147" s="230" t="str">
        <f t="shared" si="95"/>
        <v>-</v>
      </c>
      <c r="F147" s="231">
        <f t="shared" si="96"/>
        <v>0</v>
      </c>
      <c r="G147" s="231">
        <f t="shared" si="97"/>
        <v>0</v>
      </c>
      <c r="H147" s="231">
        <f t="shared" si="98"/>
        <v>0</v>
      </c>
      <c r="I147" s="268">
        <f t="shared" si="129"/>
        <v>0</v>
      </c>
      <c r="J147" s="269">
        <f t="shared" si="99"/>
        <v>0</v>
      </c>
      <c r="K147" s="269">
        <f t="shared" si="100"/>
        <v>0</v>
      </c>
      <c r="L147" s="269">
        <f t="shared" si="130"/>
        <v>0</v>
      </c>
      <c r="M147" s="269">
        <f t="shared" si="131"/>
        <v>0</v>
      </c>
      <c r="N147" s="233">
        <f>VLOOKUP(B147,Dados!$L$86:$P$90,5)</f>
        <v>0</v>
      </c>
      <c r="O147" s="270">
        <f t="shared" si="101"/>
        <v>0.99999999999999989</v>
      </c>
      <c r="P147" s="269">
        <f t="shared" si="102"/>
        <v>0</v>
      </c>
      <c r="Q147" s="269" t="e">
        <f t="shared" si="103"/>
        <v>#DIV/0!</v>
      </c>
      <c r="R147" s="269">
        <f t="shared" si="104"/>
        <v>0</v>
      </c>
      <c r="S147" s="269" t="e">
        <f t="shared" si="105"/>
        <v>#DIV/0!</v>
      </c>
      <c r="T147" s="269" t="e">
        <f t="shared" si="137"/>
        <v>#DIV/0!</v>
      </c>
      <c r="U147" s="234">
        <f t="shared" si="106"/>
        <v>0</v>
      </c>
      <c r="V147" s="232" t="e">
        <f t="shared" si="107"/>
        <v>#DIV/0!</v>
      </c>
      <c r="W147" s="269" t="e">
        <f t="shared" si="108"/>
        <v>#DIV/0!</v>
      </c>
      <c r="X147" s="235">
        <f t="shared" si="132"/>
        <v>0</v>
      </c>
      <c r="Y147" s="236">
        <f t="shared" si="109"/>
        <v>5</v>
      </c>
      <c r="Z147" s="236" t="e">
        <f t="shared" si="110"/>
        <v>#DIV/0!</v>
      </c>
      <c r="AA147" s="236">
        <f t="shared" si="111"/>
        <v>3</v>
      </c>
      <c r="AB147" s="236" t="e">
        <f t="shared" si="112"/>
        <v>#DIV/0!</v>
      </c>
      <c r="AC147" s="235">
        <f t="shared" si="113"/>
        <v>0</v>
      </c>
      <c r="AD147" s="235">
        <f t="shared" si="114"/>
        <v>0</v>
      </c>
      <c r="AE147" s="279">
        <f t="shared" si="115"/>
        <v>0</v>
      </c>
      <c r="AF147" s="232">
        <f t="shared" si="116"/>
        <v>0</v>
      </c>
      <c r="AG147" s="235">
        <f t="shared" si="117"/>
        <v>0</v>
      </c>
      <c r="AH147" s="269">
        <f t="shared" si="118"/>
        <v>0</v>
      </c>
      <c r="AI147" s="232">
        <f t="shared" si="119"/>
        <v>0</v>
      </c>
      <c r="AJ147" s="235">
        <f t="shared" si="120"/>
        <v>0</v>
      </c>
      <c r="AK147" s="269">
        <f t="shared" si="121"/>
        <v>0</v>
      </c>
      <c r="AL147" s="269">
        <f t="shared" si="133"/>
        <v>0</v>
      </c>
      <c r="AM147" s="281" t="e">
        <f>IF(B147&gt;=mpfo,pos*vvm*Dados!$E$122*(ntudv-SUM(U148:$U$301))-SUM($AM$13:AM146),0)</f>
        <v>#DIV/0!</v>
      </c>
      <c r="AN147" s="269" t="e">
        <f t="shared" si="122"/>
        <v>#DIV/0!</v>
      </c>
      <c r="AO147" s="232" t="e">
        <f t="shared" si="123"/>
        <v>#DIV/0!</v>
      </c>
      <c r="AP147" s="242" t="e">
        <f t="shared" si="124"/>
        <v>#DIV/0!</v>
      </c>
      <c r="AQ147" s="235" t="e">
        <f>IF(AP147+SUM($AQ$12:AQ146)&gt;=0,0,-AP147-SUM($AQ$12:AQ146))</f>
        <v>#DIV/0!</v>
      </c>
      <c r="AR147" s="235">
        <f>IF(SUM($N$13:N146)&gt;=pmo,IF(SUM(N146:$N$501)&gt;(1-pmo),B147,0),0)</f>
        <v>0</v>
      </c>
      <c r="AS147" s="235" t="e">
        <f>IF((SUM($U$13:$U146)/ntudv)&gt;=pmv,IF((SUM($U146:$U$501)/ntudv)&gt;(1-pmv),B147,0),0)</f>
        <v>#DIV/0!</v>
      </c>
      <c r="AT147" s="237" t="e">
        <f>IF(MAX(mmo,mmv)=mmo,IF(B147=AR147,(SUM(N$13:$N146)-pmo)/((1-VLOOKUP(MAX(mmo,mmv)-1,$B$13:$O$501,14))+(VLOOKUP(MAX(mmo,mmv)-1,$B$13:$O$501,14)-pmo)),N146/((1-VLOOKUP(MAX(mmo,mmv)-1,$B$13:$O$501,14)+(VLOOKUP(MAX(mmo,mmv)-1,$B$13:$O$501,14)-pmo)))),N146/(1-VLOOKUP(MAX(mmo,mmv)-2,$B$13:$O$501,14)))</f>
        <v>#DIV/0!</v>
      </c>
      <c r="AU147" s="101" t="e">
        <f t="shared" si="134"/>
        <v>#DIV/0!</v>
      </c>
      <c r="AV147" s="287" t="e">
        <f t="shared" si="135"/>
        <v>#DIV/0!</v>
      </c>
      <c r="AW147" s="235" t="e">
        <f t="shared" si="125"/>
        <v>#DIV/0!</v>
      </c>
      <c r="AX147" s="281">
        <f>IF(B147&gt;mpfo,0,IF(B147=mpfo,(vld-teo*(1+tcfo-incc)^(MAX(mmo,mmv)-mbfo))*-1,IF(SUM($N$13:N146)&gt;=pmo,IF(($V146/ntudv)&gt;=pmv,IF(B147=MAX(mmo,mmv),-teo*(1+tcfo-incc)^(B147-mbfo),0),0),0)))</f>
        <v>0</v>
      </c>
      <c r="AY147" s="292" t="e">
        <f t="shared" si="136"/>
        <v>#DIV/0!</v>
      </c>
      <c r="AZ147" s="235" t="e">
        <f t="shared" si="126"/>
        <v>#DIV/0!</v>
      </c>
      <c r="BA147" s="269" t="e">
        <f t="shared" si="127"/>
        <v>#DIV/0!</v>
      </c>
      <c r="BB147" s="292" t="e">
        <f t="shared" si="128"/>
        <v>#DIV/0!</v>
      </c>
      <c r="BC147" s="238" t="e">
        <f>IF(SUM($BC$13:BC146)&gt;0,0,IF(BB147&gt;0,B147,0))</f>
        <v>#DIV/0!</v>
      </c>
      <c r="BD147" s="292" t="e">
        <f>IF(BB147+SUM($BD$12:BD146)&gt;=0,0,-BB147-SUM($BD$12:BD146))</f>
        <v>#DIV/0!</v>
      </c>
      <c r="BE147" s="235" t="e">
        <f>BB147+SUM($BD$12:BD147)</f>
        <v>#DIV/0!</v>
      </c>
      <c r="BF147" s="292" t="e">
        <f>-MIN(BE147:$BE$501)-SUM(BF$12:$BF146)</f>
        <v>#DIV/0!</v>
      </c>
      <c r="BG147" s="235" t="e">
        <f t="shared" si="139"/>
        <v>#DIV/0!</v>
      </c>
    </row>
    <row r="148" spans="2:59">
      <c r="B148" s="246">
        <v>135</v>
      </c>
      <c r="C148" s="241">
        <f t="shared" si="138"/>
        <v>46788</v>
      </c>
      <c r="D148" s="229">
        <f t="shared" si="94"/>
        <v>2</v>
      </c>
      <c r="E148" s="230" t="str">
        <f t="shared" si="95"/>
        <v>-</v>
      </c>
      <c r="F148" s="231">
        <f t="shared" si="96"/>
        <v>0</v>
      </c>
      <c r="G148" s="231">
        <f t="shared" si="97"/>
        <v>0</v>
      </c>
      <c r="H148" s="231">
        <f t="shared" si="98"/>
        <v>0</v>
      </c>
      <c r="I148" s="268">
        <f t="shared" si="129"/>
        <v>0</v>
      </c>
      <c r="J148" s="269">
        <f t="shared" si="99"/>
        <v>0</v>
      </c>
      <c r="K148" s="269">
        <f t="shared" si="100"/>
        <v>0</v>
      </c>
      <c r="L148" s="269">
        <f t="shared" si="130"/>
        <v>0</v>
      </c>
      <c r="M148" s="269">
        <f t="shared" si="131"/>
        <v>0</v>
      </c>
      <c r="N148" s="233">
        <f>VLOOKUP(B148,Dados!$L$86:$P$90,5)</f>
        <v>0</v>
      </c>
      <c r="O148" s="270">
        <f t="shared" si="101"/>
        <v>0.99999999999999989</v>
      </c>
      <c r="P148" s="269">
        <f t="shared" si="102"/>
        <v>0</v>
      </c>
      <c r="Q148" s="269" t="e">
        <f t="shared" si="103"/>
        <v>#DIV/0!</v>
      </c>
      <c r="R148" s="269">
        <f t="shared" si="104"/>
        <v>0</v>
      </c>
      <c r="S148" s="269" t="e">
        <f t="shared" si="105"/>
        <v>#DIV/0!</v>
      </c>
      <c r="T148" s="269" t="e">
        <f t="shared" si="137"/>
        <v>#DIV/0!</v>
      </c>
      <c r="U148" s="234">
        <f t="shared" si="106"/>
        <v>0</v>
      </c>
      <c r="V148" s="232" t="e">
        <f t="shared" si="107"/>
        <v>#DIV/0!</v>
      </c>
      <c r="W148" s="269" t="e">
        <f t="shared" si="108"/>
        <v>#DIV/0!</v>
      </c>
      <c r="X148" s="235">
        <f t="shared" si="132"/>
        <v>0</v>
      </c>
      <c r="Y148" s="236">
        <f t="shared" si="109"/>
        <v>5</v>
      </c>
      <c r="Z148" s="236" t="e">
        <f t="shared" si="110"/>
        <v>#DIV/0!</v>
      </c>
      <c r="AA148" s="236">
        <f t="shared" si="111"/>
        <v>3</v>
      </c>
      <c r="AB148" s="236" t="e">
        <f t="shared" si="112"/>
        <v>#DIV/0!</v>
      </c>
      <c r="AC148" s="235">
        <f t="shared" si="113"/>
        <v>0</v>
      </c>
      <c r="AD148" s="235">
        <f t="shared" si="114"/>
        <v>0</v>
      </c>
      <c r="AE148" s="279">
        <f t="shared" si="115"/>
        <v>0</v>
      </c>
      <c r="AF148" s="232">
        <f t="shared" si="116"/>
        <v>0</v>
      </c>
      <c r="AG148" s="235">
        <f t="shared" si="117"/>
        <v>0</v>
      </c>
      <c r="AH148" s="269">
        <f t="shared" si="118"/>
        <v>0</v>
      </c>
      <c r="AI148" s="232">
        <f t="shared" si="119"/>
        <v>0</v>
      </c>
      <c r="AJ148" s="235">
        <f t="shared" si="120"/>
        <v>0</v>
      </c>
      <c r="AK148" s="269">
        <f t="shared" si="121"/>
        <v>0</v>
      </c>
      <c r="AL148" s="269">
        <f t="shared" si="133"/>
        <v>0</v>
      </c>
      <c r="AM148" s="281" t="e">
        <f>IF(B148&gt;=mpfo,pos*vvm*Dados!$E$122*(ntudv-SUM(U149:$U$301))-SUM($AM$13:AM147),0)</f>
        <v>#DIV/0!</v>
      </c>
      <c r="AN148" s="269" t="e">
        <f t="shared" si="122"/>
        <v>#DIV/0!</v>
      </c>
      <c r="AO148" s="232" t="e">
        <f t="shared" si="123"/>
        <v>#DIV/0!</v>
      </c>
      <c r="AP148" s="242" t="e">
        <f t="shared" si="124"/>
        <v>#DIV/0!</v>
      </c>
      <c r="AQ148" s="235" t="e">
        <f>IF(AP148+SUM($AQ$12:AQ147)&gt;=0,0,-AP148-SUM($AQ$12:AQ147))</f>
        <v>#DIV/0!</v>
      </c>
      <c r="AR148" s="235">
        <f>IF(SUM($N$13:N147)&gt;=pmo,IF(SUM(N147:$N$501)&gt;(1-pmo),B148,0),0)</f>
        <v>0</v>
      </c>
      <c r="AS148" s="235" t="e">
        <f>IF((SUM($U$13:$U147)/ntudv)&gt;=pmv,IF((SUM($U147:$U$501)/ntudv)&gt;(1-pmv),B148,0),0)</f>
        <v>#DIV/0!</v>
      </c>
      <c r="AT148" s="237" t="e">
        <f>IF(MAX(mmo,mmv)=mmo,IF(B148=AR148,(SUM(N$13:$N147)-pmo)/((1-VLOOKUP(MAX(mmo,mmv)-1,$B$13:$O$501,14))+(VLOOKUP(MAX(mmo,mmv)-1,$B$13:$O$501,14)-pmo)),N147/((1-VLOOKUP(MAX(mmo,mmv)-1,$B$13:$O$501,14)+(VLOOKUP(MAX(mmo,mmv)-1,$B$13:$O$501,14)-pmo)))),N147/(1-VLOOKUP(MAX(mmo,mmv)-2,$B$13:$O$501,14)))</f>
        <v>#DIV/0!</v>
      </c>
      <c r="AU148" s="101" t="e">
        <f t="shared" si="134"/>
        <v>#DIV/0!</v>
      </c>
      <c r="AV148" s="287" t="e">
        <f t="shared" si="135"/>
        <v>#DIV/0!</v>
      </c>
      <c r="AW148" s="235" t="e">
        <f t="shared" si="125"/>
        <v>#DIV/0!</v>
      </c>
      <c r="AX148" s="281">
        <f>IF(B148&gt;mpfo,0,IF(B148=mpfo,(vld-teo*(1+tcfo-incc)^(MAX(mmo,mmv)-mbfo))*-1,IF(SUM($N$13:N147)&gt;=pmo,IF(($V147/ntudv)&gt;=pmv,IF(B148=MAX(mmo,mmv),-teo*(1+tcfo-incc)^(B148-mbfo),0),0),0)))</f>
        <v>0</v>
      </c>
      <c r="AY148" s="292" t="e">
        <f t="shared" si="136"/>
        <v>#DIV/0!</v>
      </c>
      <c r="AZ148" s="235" t="e">
        <f t="shared" si="126"/>
        <v>#DIV/0!</v>
      </c>
      <c r="BA148" s="269" t="e">
        <f t="shared" si="127"/>
        <v>#DIV/0!</v>
      </c>
      <c r="BB148" s="292" t="e">
        <f t="shared" si="128"/>
        <v>#DIV/0!</v>
      </c>
      <c r="BC148" s="238" t="e">
        <f>IF(SUM($BC$13:BC147)&gt;0,0,IF(BB148&gt;0,B148,0))</f>
        <v>#DIV/0!</v>
      </c>
      <c r="BD148" s="292" t="e">
        <f>IF(BB148+SUM($BD$12:BD147)&gt;=0,0,-BB148-SUM($BD$12:BD147))</f>
        <v>#DIV/0!</v>
      </c>
      <c r="BE148" s="235" t="e">
        <f>BB148+SUM($BD$12:BD148)</f>
        <v>#DIV/0!</v>
      </c>
      <c r="BF148" s="292" t="e">
        <f>-MIN(BE148:$BE$501)-SUM(BF$12:$BF147)</f>
        <v>#DIV/0!</v>
      </c>
      <c r="BG148" s="235" t="e">
        <f t="shared" si="139"/>
        <v>#DIV/0!</v>
      </c>
    </row>
    <row r="149" spans="2:59">
      <c r="B149" s="120">
        <v>136</v>
      </c>
      <c r="C149" s="241">
        <f t="shared" si="138"/>
        <v>46817</v>
      </c>
      <c r="D149" s="229">
        <f t="shared" si="94"/>
        <v>3</v>
      </c>
      <c r="E149" s="230" t="str">
        <f t="shared" si="95"/>
        <v>-</v>
      </c>
      <c r="F149" s="231">
        <f t="shared" si="96"/>
        <v>0</v>
      </c>
      <c r="G149" s="231">
        <f t="shared" si="97"/>
        <v>0</v>
      </c>
      <c r="H149" s="231">
        <f t="shared" si="98"/>
        <v>0</v>
      </c>
      <c r="I149" s="268">
        <f t="shared" si="129"/>
        <v>0</v>
      </c>
      <c r="J149" s="269">
        <f t="shared" si="99"/>
        <v>0</v>
      </c>
      <c r="K149" s="269">
        <f t="shared" si="100"/>
        <v>0</v>
      </c>
      <c r="L149" s="269">
        <f t="shared" si="130"/>
        <v>0</v>
      </c>
      <c r="M149" s="269">
        <f t="shared" si="131"/>
        <v>0</v>
      </c>
      <c r="N149" s="233">
        <f>VLOOKUP(B149,Dados!$L$86:$P$90,5)</f>
        <v>0</v>
      </c>
      <c r="O149" s="270">
        <f t="shared" si="101"/>
        <v>0.99999999999999989</v>
      </c>
      <c r="P149" s="269">
        <f t="shared" si="102"/>
        <v>0</v>
      </c>
      <c r="Q149" s="269" t="e">
        <f t="shared" si="103"/>
        <v>#DIV/0!</v>
      </c>
      <c r="R149" s="269">
        <f t="shared" si="104"/>
        <v>0</v>
      </c>
      <c r="S149" s="269" t="e">
        <f t="shared" si="105"/>
        <v>#DIV/0!</v>
      </c>
      <c r="T149" s="269" t="e">
        <f t="shared" si="137"/>
        <v>#DIV/0!</v>
      </c>
      <c r="U149" s="234">
        <f t="shared" si="106"/>
        <v>0</v>
      </c>
      <c r="V149" s="232" t="e">
        <f t="shared" si="107"/>
        <v>#DIV/0!</v>
      </c>
      <c r="W149" s="269" t="e">
        <f t="shared" si="108"/>
        <v>#DIV/0!</v>
      </c>
      <c r="X149" s="235">
        <f t="shared" si="132"/>
        <v>0</v>
      </c>
      <c r="Y149" s="236">
        <f t="shared" si="109"/>
        <v>5</v>
      </c>
      <c r="Z149" s="236" t="e">
        <f t="shared" si="110"/>
        <v>#DIV/0!</v>
      </c>
      <c r="AA149" s="236">
        <f t="shared" si="111"/>
        <v>3</v>
      </c>
      <c r="AB149" s="236" t="e">
        <f t="shared" si="112"/>
        <v>#DIV/0!</v>
      </c>
      <c r="AC149" s="235">
        <f t="shared" si="113"/>
        <v>0</v>
      </c>
      <c r="AD149" s="235">
        <f t="shared" si="114"/>
        <v>0</v>
      </c>
      <c r="AE149" s="279">
        <f t="shared" si="115"/>
        <v>0</v>
      </c>
      <c r="AF149" s="232">
        <f t="shared" si="116"/>
        <v>0</v>
      </c>
      <c r="AG149" s="235">
        <f t="shared" si="117"/>
        <v>0</v>
      </c>
      <c r="AH149" s="269">
        <f t="shared" si="118"/>
        <v>0</v>
      </c>
      <c r="AI149" s="232">
        <f t="shared" si="119"/>
        <v>0</v>
      </c>
      <c r="AJ149" s="235">
        <f t="shared" si="120"/>
        <v>0</v>
      </c>
      <c r="AK149" s="269">
        <f t="shared" si="121"/>
        <v>0</v>
      </c>
      <c r="AL149" s="269">
        <f t="shared" si="133"/>
        <v>0</v>
      </c>
      <c r="AM149" s="281" t="e">
        <f>IF(B149&gt;=mpfo,pos*vvm*Dados!$E$122*(ntudv-SUM(U150:$U$301))-SUM($AM$13:AM148),0)</f>
        <v>#DIV/0!</v>
      </c>
      <c r="AN149" s="269" t="e">
        <f t="shared" si="122"/>
        <v>#DIV/0!</v>
      </c>
      <c r="AO149" s="232" t="e">
        <f t="shared" si="123"/>
        <v>#DIV/0!</v>
      </c>
      <c r="AP149" s="242" t="e">
        <f t="shared" si="124"/>
        <v>#DIV/0!</v>
      </c>
      <c r="AQ149" s="235" t="e">
        <f>IF(AP149+SUM($AQ$12:AQ148)&gt;=0,0,-AP149-SUM($AQ$12:AQ148))</f>
        <v>#DIV/0!</v>
      </c>
      <c r="AR149" s="235">
        <f>IF(SUM($N$13:N148)&gt;=pmo,IF(SUM(N148:$N$501)&gt;(1-pmo),B149,0),0)</f>
        <v>0</v>
      </c>
      <c r="AS149" s="235" t="e">
        <f>IF((SUM($U$13:$U148)/ntudv)&gt;=pmv,IF((SUM($U148:$U$501)/ntudv)&gt;(1-pmv),B149,0),0)</f>
        <v>#DIV/0!</v>
      </c>
      <c r="AT149" s="237" t="e">
        <f>IF(MAX(mmo,mmv)=mmo,IF(B149=AR149,(SUM(N$13:$N148)-pmo)/((1-VLOOKUP(MAX(mmo,mmv)-1,$B$13:$O$501,14))+(VLOOKUP(MAX(mmo,mmv)-1,$B$13:$O$501,14)-pmo)),N148/((1-VLOOKUP(MAX(mmo,mmv)-1,$B$13:$O$501,14)+(VLOOKUP(MAX(mmo,mmv)-1,$B$13:$O$501,14)-pmo)))),N148/(1-VLOOKUP(MAX(mmo,mmv)-2,$B$13:$O$501,14)))</f>
        <v>#DIV/0!</v>
      </c>
      <c r="AU149" s="101" t="e">
        <f t="shared" si="134"/>
        <v>#DIV/0!</v>
      </c>
      <c r="AV149" s="287" t="e">
        <f t="shared" si="135"/>
        <v>#DIV/0!</v>
      </c>
      <c r="AW149" s="235" t="e">
        <f t="shared" si="125"/>
        <v>#DIV/0!</v>
      </c>
      <c r="AX149" s="281">
        <f>IF(B149&gt;mpfo,0,IF(B149=mpfo,(vld-teo*(1+tcfo-incc)^(MAX(mmo,mmv)-mbfo))*-1,IF(SUM($N$13:N148)&gt;=pmo,IF(($V148/ntudv)&gt;=pmv,IF(B149=MAX(mmo,mmv),-teo*(1+tcfo-incc)^(B149-mbfo),0),0),0)))</f>
        <v>0</v>
      </c>
      <c r="AY149" s="292" t="e">
        <f t="shared" si="136"/>
        <v>#DIV/0!</v>
      </c>
      <c r="AZ149" s="235" t="e">
        <f t="shared" si="126"/>
        <v>#DIV/0!</v>
      </c>
      <c r="BA149" s="269" t="e">
        <f t="shared" si="127"/>
        <v>#DIV/0!</v>
      </c>
      <c r="BB149" s="292" t="e">
        <f t="shared" si="128"/>
        <v>#DIV/0!</v>
      </c>
      <c r="BC149" s="238" t="e">
        <f>IF(SUM($BC$13:BC148)&gt;0,0,IF(BB149&gt;0,B149,0))</f>
        <v>#DIV/0!</v>
      </c>
      <c r="BD149" s="292" t="e">
        <f>IF(BB149+SUM($BD$12:BD148)&gt;=0,0,-BB149-SUM($BD$12:BD148))</f>
        <v>#DIV/0!</v>
      </c>
      <c r="BE149" s="235" t="e">
        <f>BB149+SUM($BD$12:BD149)</f>
        <v>#DIV/0!</v>
      </c>
      <c r="BF149" s="292" t="e">
        <f>-MIN(BE149:$BE$501)-SUM(BF$12:$BF148)</f>
        <v>#DIV/0!</v>
      </c>
      <c r="BG149" s="235" t="e">
        <f t="shared" si="139"/>
        <v>#DIV/0!</v>
      </c>
    </row>
    <row r="150" spans="2:59">
      <c r="B150" s="246">
        <v>137</v>
      </c>
      <c r="C150" s="241">
        <f t="shared" si="138"/>
        <v>46848</v>
      </c>
      <c r="D150" s="229">
        <f t="shared" si="94"/>
        <v>4</v>
      </c>
      <c r="E150" s="230" t="str">
        <f t="shared" si="95"/>
        <v>-</v>
      </c>
      <c r="F150" s="231">
        <f t="shared" si="96"/>
        <v>0</v>
      </c>
      <c r="G150" s="231">
        <f t="shared" si="97"/>
        <v>0</v>
      </c>
      <c r="H150" s="231">
        <f t="shared" si="98"/>
        <v>0</v>
      </c>
      <c r="I150" s="268">
        <f t="shared" si="129"/>
        <v>0</v>
      </c>
      <c r="J150" s="269">
        <f t="shared" si="99"/>
        <v>0</v>
      </c>
      <c r="K150" s="269">
        <f t="shared" si="100"/>
        <v>0</v>
      </c>
      <c r="L150" s="269">
        <f t="shared" si="130"/>
        <v>0</v>
      </c>
      <c r="M150" s="269">
        <f t="shared" si="131"/>
        <v>0</v>
      </c>
      <c r="N150" s="233">
        <f>VLOOKUP(B150,Dados!$L$86:$P$90,5)</f>
        <v>0</v>
      </c>
      <c r="O150" s="270">
        <f t="shared" si="101"/>
        <v>0.99999999999999989</v>
      </c>
      <c r="P150" s="269">
        <f t="shared" si="102"/>
        <v>0</v>
      </c>
      <c r="Q150" s="269" t="e">
        <f t="shared" si="103"/>
        <v>#DIV/0!</v>
      </c>
      <c r="R150" s="269">
        <f t="shared" si="104"/>
        <v>0</v>
      </c>
      <c r="S150" s="269" t="e">
        <f t="shared" si="105"/>
        <v>#DIV/0!</v>
      </c>
      <c r="T150" s="269" t="e">
        <f t="shared" si="137"/>
        <v>#DIV/0!</v>
      </c>
      <c r="U150" s="234">
        <f t="shared" si="106"/>
        <v>0</v>
      </c>
      <c r="V150" s="232" t="e">
        <f t="shared" si="107"/>
        <v>#DIV/0!</v>
      </c>
      <c r="W150" s="269" t="e">
        <f t="shared" si="108"/>
        <v>#DIV/0!</v>
      </c>
      <c r="X150" s="235">
        <f t="shared" si="132"/>
        <v>0</v>
      </c>
      <c r="Y150" s="236">
        <f t="shared" si="109"/>
        <v>5</v>
      </c>
      <c r="Z150" s="236" t="e">
        <f t="shared" si="110"/>
        <v>#DIV/0!</v>
      </c>
      <c r="AA150" s="236">
        <f t="shared" si="111"/>
        <v>3</v>
      </c>
      <c r="AB150" s="236" t="e">
        <f t="shared" si="112"/>
        <v>#DIV/0!</v>
      </c>
      <c r="AC150" s="235">
        <f t="shared" si="113"/>
        <v>0</v>
      </c>
      <c r="AD150" s="235">
        <f t="shared" si="114"/>
        <v>0</v>
      </c>
      <c r="AE150" s="279">
        <f t="shared" si="115"/>
        <v>0</v>
      </c>
      <c r="AF150" s="232">
        <f t="shared" si="116"/>
        <v>0</v>
      </c>
      <c r="AG150" s="235">
        <f t="shared" si="117"/>
        <v>0</v>
      </c>
      <c r="AH150" s="269">
        <f t="shared" si="118"/>
        <v>0</v>
      </c>
      <c r="AI150" s="232">
        <f t="shared" si="119"/>
        <v>0</v>
      </c>
      <c r="AJ150" s="235">
        <f t="shared" si="120"/>
        <v>0</v>
      </c>
      <c r="AK150" s="269">
        <f t="shared" si="121"/>
        <v>0</v>
      </c>
      <c r="AL150" s="269">
        <f t="shared" si="133"/>
        <v>0</v>
      </c>
      <c r="AM150" s="281" t="e">
        <f>IF(B150&gt;=mpfo,pos*vvm*Dados!$E$122*(ntudv-SUM(U151:$U$301))-SUM($AM$13:AM149),0)</f>
        <v>#DIV/0!</v>
      </c>
      <c r="AN150" s="269" t="e">
        <f t="shared" si="122"/>
        <v>#DIV/0!</v>
      </c>
      <c r="AO150" s="232" t="e">
        <f t="shared" si="123"/>
        <v>#DIV/0!</v>
      </c>
      <c r="AP150" s="242" t="e">
        <f t="shared" si="124"/>
        <v>#DIV/0!</v>
      </c>
      <c r="AQ150" s="235" t="e">
        <f>IF(AP150+SUM($AQ$12:AQ149)&gt;=0,0,-AP150-SUM($AQ$12:AQ149))</f>
        <v>#DIV/0!</v>
      </c>
      <c r="AR150" s="235">
        <f>IF(SUM($N$13:N149)&gt;=pmo,IF(SUM(N149:$N$501)&gt;(1-pmo),B150,0),0)</f>
        <v>0</v>
      </c>
      <c r="AS150" s="235" t="e">
        <f>IF((SUM($U$13:$U149)/ntudv)&gt;=pmv,IF((SUM($U149:$U$501)/ntudv)&gt;(1-pmv),B150,0),0)</f>
        <v>#DIV/0!</v>
      </c>
      <c r="AT150" s="237" t="e">
        <f>IF(MAX(mmo,mmv)=mmo,IF(B150=AR150,(SUM(N$13:$N149)-pmo)/((1-VLOOKUP(MAX(mmo,mmv)-1,$B$13:$O$501,14))+(VLOOKUP(MAX(mmo,mmv)-1,$B$13:$O$501,14)-pmo)),N149/((1-VLOOKUP(MAX(mmo,mmv)-1,$B$13:$O$501,14)+(VLOOKUP(MAX(mmo,mmv)-1,$B$13:$O$501,14)-pmo)))),N149/(1-VLOOKUP(MAX(mmo,mmv)-2,$B$13:$O$501,14)))</f>
        <v>#DIV/0!</v>
      </c>
      <c r="AU150" s="101" t="e">
        <f t="shared" si="134"/>
        <v>#DIV/0!</v>
      </c>
      <c r="AV150" s="287" t="e">
        <f t="shared" si="135"/>
        <v>#DIV/0!</v>
      </c>
      <c r="AW150" s="235" t="e">
        <f t="shared" si="125"/>
        <v>#DIV/0!</v>
      </c>
      <c r="AX150" s="281">
        <f>IF(B150&gt;mpfo,0,IF(B150=mpfo,(vld-teo*(1+tcfo-incc)^(MAX(mmo,mmv)-mbfo))*-1,IF(SUM($N$13:N149)&gt;=pmo,IF(($V149/ntudv)&gt;=pmv,IF(B150=MAX(mmo,mmv),-teo*(1+tcfo-incc)^(B150-mbfo),0),0),0)))</f>
        <v>0</v>
      </c>
      <c r="AY150" s="292" t="e">
        <f t="shared" si="136"/>
        <v>#DIV/0!</v>
      </c>
      <c r="AZ150" s="235" t="e">
        <f t="shared" si="126"/>
        <v>#DIV/0!</v>
      </c>
      <c r="BA150" s="269" t="e">
        <f t="shared" si="127"/>
        <v>#DIV/0!</v>
      </c>
      <c r="BB150" s="292" t="e">
        <f t="shared" si="128"/>
        <v>#DIV/0!</v>
      </c>
      <c r="BC150" s="238" t="e">
        <f>IF(SUM($BC$13:BC149)&gt;0,0,IF(BB150&gt;0,B150,0))</f>
        <v>#DIV/0!</v>
      </c>
      <c r="BD150" s="292" t="e">
        <f>IF(BB150+SUM($BD$12:BD149)&gt;=0,0,-BB150-SUM($BD$12:BD149))</f>
        <v>#DIV/0!</v>
      </c>
      <c r="BE150" s="235" t="e">
        <f>BB150+SUM($BD$12:BD150)</f>
        <v>#DIV/0!</v>
      </c>
      <c r="BF150" s="292" t="e">
        <f>-MIN(BE150:$BE$501)-SUM(BF$12:$BF149)</f>
        <v>#DIV/0!</v>
      </c>
      <c r="BG150" s="235" t="e">
        <f t="shared" si="139"/>
        <v>#DIV/0!</v>
      </c>
    </row>
    <row r="151" spans="2:59">
      <c r="B151" s="120">
        <v>138</v>
      </c>
      <c r="C151" s="241">
        <f t="shared" si="138"/>
        <v>46878</v>
      </c>
      <c r="D151" s="229">
        <f t="shared" si="94"/>
        <v>5</v>
      </c>
      <c r="E151" s="230" t="str">
        <f t="shared" si="95"/>
        <v>-</v>
      </c>
      <c r="F151" s="231">
        <f t="shared" si="96"/>
        <v>0</v>
      </c>
      <c r="G151" s="231">
        <f t="shared" si="97"/>
        <v>0</v>
      </c>
      <c r="H151" s="231">
        <f t="shared" si="98"/>
        <v>0</v>
      </c>
      <c r="I151" s="268">
        <f t="shared" si="129"/>
        <v>0</v>
      </c>
      <c r="J151" s="269">
        <f t="shared" si="99"/>
        <v>0</v>
      </c>
      <c r="K151" s="269">
        <f t="shared" si="100"/>
        <v>0</v>
      </c>
      <c r="L151" s="269">
        <f t="shared" si="130"/>
        <v>0</v>
      </c>
      <c r="M151" s="269">
        <f t="shared" si="131"/>
        <v>0</v>
      </c>
      <c r="N151" s="233">
        <f>VLOOKUP(B151,Dados!$L$86:$P$90,5)</f>
        <v>0</v>
      </c>
      <c r="O151" s="270">
        <f t="shared" si="101"/>
        <v>0.99999999999999989</v>
      </c>
      <c r="P151" s="269">
        <f t="shared" si="102"/>
        <v>0</v>
      </c>
      <c r="Q151" s="269" t="e">
        <f t="shared" si="103"/>
        <v>#DIV/0!</v>
      </c>
      <c r="R151" s="269">
        <f t="shared" si="104"/>
        <v>0</v>
      </c>
      <c r="S151" s="269" t="e">
        <f t="shared" si="105"/>
        <v>#DIV/0!</v>
      </c>
      <c r="T151" s="269" t="e">
        <f t="shared" si="137"/>
        <v>#DIV/0!</v>
      </c>
      <c r="U151" s="234">
        <f t="shared" si="106"/>
        <v>0</v>
      </c>
      <c r="V151" s="232" t="e">
        <f t="shared" si="107"/>
        <v>#DIV/0!</v>
      </c>
      <c r="W151" s="269" t="e">
        <f t="shared" si="108"/>
        <v>#DIV/0!</v>
      </c>
      <c r="X151" s="235">
        <f t="shared" si="132"/>
        <v>0</v>
      </c>
      <c r="Y151" s="236">
        <f t="shared" si="109"/>
        <v>5</v>
      </c>
      <c r="Z151" s="236" t="e">
        <f t="shared" si="110"/>
        <v>#DIV/0!</v>
      </c>
      <c r="AA151" s="236">
        <f t="shared" si="111"/>
        <v>3</v>
      </c>
      <c r="AB151" s="236" t="e">
        <f t="shared" si="112"/>
        <v>#DIV/0!</v>
      </c>
      <c r="AC151" s="235">
        <f t="shared" si="113"/>
        <v>0</v>
      </c>
      <c r="AD151" s="235">
        <f t="shared" si="114"/>
        <v>0</v>
      </c>
      <c r="AE151" s="279">
        <f t="shared" si="115"/>
        <v>0</v>
      </c>
      <c r="AF151" s="232">
        <f t="shared" si="116"/>
        <v>0</v>
      </c>
      <c r="AG151" s="235">
        <f t="shared" si="117"/>
        <v>0</v>
      </c>
      <c r="AH151" s="269">
        <f t="shared" si="118"/>
        <v>0</v>
      </c>
      <c r="AI151" s="232">
        <f t="shared" si="119"/>
        <v>0</v>
      </c>
      <c r="AJ151" s="235">
        <f t="shared" si="120"/>
        <v>0</v>
      </c>
      <c r="AK151" s="269">
        <f t="shared" si="121"/>
        <v>0</v>
      </c>
      <c r="AL151" s="269">
        <f t="shared" si="133"/>
        <v>0</v>
      </c>
      <c r="AM151" s="281" t="e">
        <f>IF(B151&gt;=mpfo,pos*vvm*Dados!$E$122*(ntudv-SUM(U152:$U$301))-SUM($AM$13:AM150),0)</f>
        <v>#DIV/0!</v>
      </c>
      <c r="AN151" s="269" t="e">
        <f t="shared" si="122"/>
        <v>#DIV/0!</v>
      </c>
      <c r="AO151" s="232" t="e">
        <f t="shared" si="123"/>
        <v>#DIV/0!</v>
      </c>
      <c r="AP151" s="242" t="e">
        <f t="shared" si="124"/>
        <v>#DIV/0!</v>
      </c>
      <c r="AQ151" s="235" t="e">
        <f>IF(AP151+SUM($AQ$12:AQ150)&gt;=0,0,-AP151-SUM($AQ$12:AQ150))</f>
        <v>#DIV/0!</v>
      </c>
      <c r="AR151" s="235">
        <f>IF(SUM($N$13:N150)&gt;=pmo,IF(SUM(N150:$N$501)&gt;(1-pmo),B151,0),0)</f>
        <v>0</v>
      </c>
      <c r="AS151" s="235" t="e">
        <f>IF((SUM($U$13:$U150)/ntudv)&gt;=pmv,IF((SUM($U150:$U$501)/ntudv)&gt;(1-pmv),B151,0),0)</f>
        <v>#DIV/0!</v>
      </c>
      <c r="AT151" s="237" t="e">
        <f>IF(MAX(mmo,mmv)=mmo,IF(B151=AR151,(SUM(N$13:$N150)-pmo)/((1-VLOOKUP(MAX(mmo,mmv)-1,$B$13:$O$501,14))+(VLOOKUP(MAX(mmo,mmv)-1,$B$13:$O$501,14)-pmo)),N150/((1-VLOOKUP(MAX(mmo,mmv)-1,$B$13:$O$501,14)+(VLOOKUP(MAX(mmo,mmv)-1,$B$13:$O$501,14)-pmo)))),N150/(1-VLOOKUP(MAX(mmo,mmv)-2,$B$13:$O$501,14)))</f>
        <v>#DIV/0!</v>
      </c>
      <c r="AU151" s="101" t="e">
        <f t="shared" si="134"/>
        <v>#DIV/0!</v>
      </c>
      <c r="AV151" s="287" t="e">
        <f t="shared" si="135"/>
        <v>#DIV/0!</v>
      </c>
      <c r="AW151" s="235" t="e">
        <f t="shared" si="125"/>
        <v>#DIV/0!</v>
      </c>
      <c r="AX151" s="281">
        <f>IF(B151&gt;mpfo,0,IF(B151=mpfo,(vld-teo*(1+tcfo-incc)^(MAX(mmo,mmv)-mbfo))*-1,IF(SUM($N$13:N150)&gt;=pmo,IF(($V150/ntudv)&gt;=pmv,IF(B151=MAX(mmo,mmv),-teo*(1+tcfo-incc)^(B151-mbfo),0),0),0)))</f>
        <v>0</v>
      </c>
      <c r="AY151" s="292" t="e">
        <f t="shared" si="136"/>
        <v>#DIV/0!</v>
      </c>
      <c r="AZ151" s="235" t="e">
        <f t="shared" si="126"/>
        <v>#DIV/0!</v>
      </c>
      <c r="BA151" s="269" t="e">
        <f t="shared" si="127"/>
        <v>#DIV/0!</v>
      </c>
      <c r="BB151" s="292" t="e">
        <f t="shared" si="128"/>
        <v>#DIV/0!</v>
      </c>
      <c r="BC151" s="238" t="e">
        <f>IF(SUM($BC$13:BC150)&gt;0,0,IF(BB151&gt;0,B151,0))</f>
        <v>#DIV/0!</v>
      </c>
      <c r="BD151" s="292" t="e">
        <f>IF(BB151+SUM($BD$12:BD150)&gt;=0,0,-BB151-SUM($BD$12:BD150))</f>
        <v>#DIV/0!</v>
      </c>
      <c r="BE151" s="235" t="e">
        <f>BB151+SUM($BD$12:BD151)</f>
        <v>#DIV/0!</v>
      </c>
      <c r="BF151" s="292" t="e">
        <f>-MIN(BE151:$BE$501)-SUM(BF$12:$BF150)</f>
        <v>#DIV/0!</v>
      </c>
      <c r="BG151" s="235" t="e">
        <f t="shared" si="139"/>
        <v>#DIV/0!</v>
      </c>
    </row>
    <row r="152" spans="2:59">
      <c r="B152" s="246">
        <v>139</v>
      </c>
      <c r="C152" s="241">
        <f t="shared" si="138"/>
        <v>46909</v>
      </c>
      <c r="D152" s="229">
        <f t="shared" ref="D152:D215" si="140">MONTH(C152)</f>
        <v>6</v>
      </c>
      <c r="E152" s="230" t="str">
        <f t="shared" ref="E152:E215" si="141">IF(B152=mpo,"Outorga",IF(B152=mpt,"Terreno",IF(B152=mlan,"Lançamento", IF(B152=mio,"Inic. Obras",IF(B152=mio+prazo-1,"Concl. Obras",IF(B152=mec,"Chaves", IF(B152=mpfo,"Pgto. Financ.","-")))))))</f>
        <v>-</v>
      </c>
      <c r="F152" s="231">
        <f t="shared" ref="F152:F215" si="142">IF(B152=mpo, voo,0)</f>
        <v>0</v>
      </c>
      <c r="G152" s="231">
        <f t="shared" ref="G152:G215" si="143">IF(B152&gt;(mpt+npt),0,IF(B152&lt;(mpt+npt+1),IF(B152&gt;mpt,(vtd-vst)/npt/(igpm+1)^B152,IF(B152=mpt,vst/(igpm+1)^B152,0))))</f>
        <v>0</v>
      </c>
      <c r="H152" s="231">
        <f t="shared" ref="H152:H215" si="144">IF(B152&gt;(mpt+npt),0,IF(B152&lt;(mpt+npt+1),IF(B152&gt;mpt,(vtd-vst)/npt/(delta+1)^B152,IF(B152=mpt,vst/(delta+1)^B152,0))))</f>
        <v>0</v>
      </c>
      <c r="I152" s="268">
        <f t="shared" si="129"/>
        <v>0</v>
      </c>
      <c r="J152" s="269">
        <f t="shared" ref="J152:J215" si="145">IF(B152=mpdt,dtt,0)*-1</f>
        <v>0</v>
      </c>
      <c r="K152" s="269">
        <f t="shared" ref="K152:K215" si="146">IF(B152&gt;mdji+npdji,0,IF(B152&lt;mdji+npdji,IF(B152&gt;=mdji,dji*vgv/npdji,0),0))*-1</f>
        <v>0</v>
      </c>
      <c r="L152" s="269">
        <f t="shared" si="130"/>
        <v>0</v>
      </c>
      <c r="M152" s="269">
        <f t="shared" si="131"/>
        <v>0</v>
      </c>
      <c r="N152" s="233">
        <f>VLOOKUP(B152,Dados!$L$86:$P$90,5)</f>
        <v>0</v>
      </c>
      <c r="O152" s="270">
        <f t="shared" ref="O152:O215" si="147">N152+O151</f>
        <v>0.99999999999999989</v>
      </c>
      <c r="P152" s="269">
        <f t="shared" ref="P152:P215" si="148">N152*cto*-1</f>
        <v>0</v>
      </c>
      <c r="Q152" s="269" t="e">
        <f t="shared" ref="Q152:Q215" si="149">AN152*pimp*-1</f>
        <v>#DIV/0!</v>
      </c>
      <c r="R152" s="269">
        <f t="shared" ref="R152:R215" si="150">IF(B152&gt;=1,IF(B152&lt;=(mec+6),padm*vgv/(mec+6),0),0)*-1</f>
        <v>0</v>
      </c>
      <c r="S152" s="269" t="e">
        <f t="shared" ref="S152:S215" si="151">U152*vvm*pcorr*-1</f>
        <v>#DIV/0!</v>
      </c>
      <c r="T152" s="269" t="e">
        <f t="shared" si="137"/>
        <v>#DIV/0!</v>
      </c>
      <c r="U152" s="234">
        <f t="shared" ref="U152:U215" si="152">VLOOKUP(B152,tabvv,4)</f>
        <v>0</v>
      </c>
      <c r="V152" s="232" t="e">
        <f t="shared" ref="V152:V215" si="153">V151+U152</f>
        <v>#DIV/0!</v>
      </c>
      <c r="W152" s="269" t="e">
        <f t="shared" ref="W152:W215" si="154">U152*vvm*sinal+X152+Z152+AB152</f>
        <v>#DIV/0!</v>
      </c>
      <c r="X152" s="235">
        <f t="shared" si="132"/>
        <v>0</v>
      </c>
      <c r="Y152" s="236">
        <f t="shared" ref="Y152:Y215" si="155">IF($B152&gt;mlan+5,IF($B152&lt;=mco,Y151+$AF151,+Y151),0)</f>
        <v>5</v>
      </c>
      <c r="Z152" s="236" t="e">
        <f t="shared" ref="Z152:Z215" si="156">Y152*vvm*sem*U152/npse</f>
        <v>#DIV/0!</v>
      </c>
      <c r="AA152" s="236">
        <f t="shared" ref="AA152:AA215" si="157">IF($B152&gt;mlan+5,IF($B152&lt;=mco,AA151+$AI151,+AA151),0)</f>
        <v>3</v>
      </c>
      <c r="AB152" s="236" t="e">
        <f t="shared" ref="AB152:AB215" si="158">AA152*vvm*anu*U152/npa</f>
        <v>#DIV/0!</v>
      </c>
      <c r="AC152" s="235">
        <f t="shared" ref="AC152:AC215" si="159">IF(B152&gt;=mec,0,V151*mdo*vvm/npm)</f>
        <v>0</v>
      </c>
      <c r="AD152" s="235">
        <f t="shared" ref="AD152:AD215" si="160">IF(B152&gt;mec,IF(B152&lt;=mec+npfd,pmtfd*nufd,0),0)</f>
        <v>0</v>
      </c>
      <c r="AE152" s="279">
        <f t="shared" ref="AE152:AE215" si="161">AD152+AC152</f>
        <v>0</v>
      </c>
      <c r="AF152" s="232">
        <f t="shared" ref="AF152:AF215" si="162">IF(D152=6,1,IF(D152=12,1,0))</f>
        <v>1</v>
      </c>
      <c r="AG152" s="235">
        <f t="shared" ref="AG152:AG215" si="163">IF($B152&gt;mlan+5,IF($B152&lt;=mco,$AG151+$AF152,0),0)</f>
        <v>0</v>
      </c>
      <c r="AH152" s="269">
        <f t="shared" ref="AH152:AH215" si="164">IF(B152&gt;=mlan+5,IF(B152&lt;=mco,V152*vvm*sem*AF152/npse,0),0)</f>
        <v>0</v>
      </c>
      <c r="AI152" s="232">
        <f t="shared" ref="AI152:AI215" si="165">IF(D152=12,1,0)</f>
        <v>0</v>
      </c>
      <c r="AJ152" s="235">
        <f t="shared" ref="AJ152:AJ215" si="166">IF(B151&gt;=mlan+5,IF(B151&lt;mco,AJ151+AI152,0),0)</f>
        <v>0</v>
      </c>
      <c r="AK152" s="269">
        <f t="shared" ref="AK152:AK215" si="167">IF(B152&lt;=mco,IF(B152&gt;=mlan+5,V152*vvm*anu/npa*AI152,0),0)</f>
        <v>0</v>
      </c>
      <c r="AL152" s="269">
        <f t="shared" si="133"/>
        <v>0</v>
      </c>
      <c r="AM152" s="281" t="e">
        <f>IF(B152&gt;=mpfo,pos*vvm*Dados!$E$122*(ntudv-SUM(U153:$U$301))-SUM($AM$13:AM151),0)</f>
        <v>#DIV/0!</v>
      </c>
      <c r="AN152" s="269" t="e">
        <f t="shared" ref="AN152:AN215" si="168">AL152+AK152+AH152+AE152+W152+AM152</f>
        <v>#DIV/0!</v>
      </c>
      <c r="AO152" s="232" t="e">
        <f t="shared" ref="AO152:AO215" si="169">AN152+T152</f>
        <v>#DIV/0!</v>
      </c>
      <c r="AP152" s="242" t="e">
        <f t="shared" ref="AP152:AP215" si="170">AP151+AO152</f>
        <v>#DIV/0!</v>
      </c>
      <c r="AQ152" s="235" t="e">
        <f>IF(AP152+SUM($AQ$12:AQ151)&gt;=0,0,-AP152-SUM($AQ$12:AQ151))</f>
        <v>#DIV/0!</v>
      </c>
      <c r="AR152" s="235">
        <f>IF(SUM($N$13:N151)&gt;=pmo,IF(SUM(N151:$N$501)&gt;(1-pmo),B152,0),0)</f>
        <v>0</v>
      </c>
      <c r="AS152" s="235" t="e">
        <f>IF((SUM($U$13:$U151)/ntudv)&gt;=pmv,IF((SUM($U151:$U$501)/ntudv)&gt;(1-pmv),B152,0),0)</f>
        <v>#DIV/0!</v>
      </c>
      <c r="AT152" s="237" t="e">
        <f>IF(MAX(mmo,mmv)=mmo,IF(B152=AR152,(SUM(N$13:$N151)-pmo)/((1-VLOOKUP(MAX(mmo,mmv)-1,$B$13:$O$501,14))+(VLOOKUP(MAX(mmo,mmv)-1,$B$13:$O$501,14)-pmo)),N151/((1-VLOOKUP(MAX(mmo,mmv)-1,$B$13:$O$501,14)+(VLOOKUP(MAX(mmo,mmv)-1,$B$13:$O$501,14)-pmo)))),N151/(1-VLOOKUP(MAX(mmo,mmv)-2,$B$13:$O$501,14)))</f>
        <v>#DIV/0!</v>
      </c>
      <c r="AU152" s="101" t="e">
        <f t="shared" si="134"/>
        <v>#DIV/0!</v>
      </c>
      <c r="AV152" s="287" t="e">
        <f t="shared" si="135"/>
        <v>#DIV/0!</v>
      </c>
      <c r="AW152" s="235" t="e">
        <f t="shared" ref="AW152:AW215" si="171">AV152+AZ151*(1+jfo)</f>
        <v>#DIV/0!</v>
      </c>
      <c r="AX152" s="281">
        <f>IF(B152&gt;mpfo,0,IF(B152=mpfo,(vld-teo*(1+tcfo-incc)^(MAX(mmo,mmv)-mbfo))*-1,IF(SUM($N$13:N151)&gt;=pmo,IF(($V151/ntudv)&gt;=pmv,IF(B152=MAX(mmo,mmv),-teo*(1+tcfo-incc)^(B152-mbfo),0),0),0)))</f>
        <v>0</v>
      </c>
      <c r="AY152" s="292" t="e">
        <f t="shared" si="136"/>
        <v>#DIV/0!</v>
      </c>
      <c r="AZ152" s="235" t="e">
        <f t="shared" ref="AZ152:AZ215" si="172">AW152+AX152+AY152</f>
        <v>#DIV/0!</v>
      </c>
      <c r="BA152" s="269" t="e">
        <f t="shared" ref="BA152:BA215" si="173">AO152+AV152+AX152+AY152</f>
        <v>#DIV/0!</v>
      </c>
      <c r="BB152" s="292" t="e">
        <f t="shared" ref="BB152:BB215" si="174">BB151+BA152</f>
        <v>#DIV/0!</v>
      </c>
      <c r="BC152" s="238" t="e">
        <f>IF(SUM($BC$13:BC151)&gt;0,0,IF(BB152&gt;0,B152,0))</f>
        <v>#DIV/0!</v>
      </c>
      <c r="BD152" s="292" t="e">
        <f>IF(BB152+SUM($BD$12:BD151)&gt;=0,0,-BB152-SUM($BD$12:BD151))</f>
        <v>#DIV/0!</v>
      </c>
      <c r="BE152" s="235" t="e">
        <f>BB152+SUM($BD$12:BD152)</f>
        <v>#DIV/0!</v>
      </c>
      <c r="BF152" s="292" t="e">
        <f>-MIN(BE152:$BE$501)-SUM(BF$12:$BF151)</f>
        <v>#DIV/0!</v>
      </c>
      <c r="BG152" s="235" t="e">
        <f t="shared" si="139"/>
        <v>#DIV/0!</v>
      </c>
    </row>
    <row r="153" spans="2:59">
      <c r="B153" s="120">
        <v>140</v>
      </c>
      <c r="C153" s="241">
        <f t="shared" si="138"/>
        <v>46939</v>
      </c>
      <c r="D153" s="229">
        <f t="shared" si="140"/>
        <v>7</v>
      </c>
      <c r="E153" s="230" t="str">
        <f t="shared" si="141"/>
        <v>-</v>
      </c>
      <c r="F153" s="231">
        <f t="shared" si="142"/>
        <v>0</v>
      </c>
      <c r="G153" s="231">
        <f t="shared" si="143"/>
        <v>0</v>
      </c>
      <c r="H153" s="231">
        <f t="shared" si="144"/>
        <v>0</v>
      </c>
      <c r="I153" s="268">
        <f t="shared" si="129"/>
        <v>0</v>
      </c>
      <c r="J153" s="269">
        <f t="shared" si="145"/>
        <v>0</v>
      </c>
      <c r="K153" s="269">
        <f t="shared" si="146"/>
        <v>0</v>
      </c>
      <c r="L153" s="269">
        <f t="shared" si="130"/>
        <v>0</v>
      </c>
      <c r="M153" s="269">
        <f t="shared" si="131"/>
        <v>0</v>
      </c>
      <c r="N153" s="233">
        <f>VLOOKUP(B153,Dados!$L$86:$P$90,5)</f>
        <v>0</v>
      </c>
      <c r="O153" s="270">
        <f t="shared" si="147"/>
        <v>0.99999999999999989</v>
      </c>
      <c r="P153" s="269">
        <f t="shared" si="148"/>
        <v>0</v>
      </c>
      <c r="Q153" s="269" t="e">
        <f t="shared" si="149"/>
        <v>#DIV/0!</v>
      </c>
      <c r="R153" s="269">
        <f t="shared" si="150"/>
        <v>0</v>
      </c>
      <c r="S153" s="269" t="e">
        <f t="shared" si="151"/>
        <v>#DIV/0!</v>
      </c>
      <c r="T153" s="269" t="e">
        <f t="shared" si="137"/>
        <v>#DIV/0!</v>
      </c>
      <c r="U153" s="234">
        <f t="shared" si="152"/>
        <v>0</v>
      </c>
      <c r="V153" s="232" t="e">
        <f t="shared" si="153"/>
        <v>#DIV/0!</v>
      </c>
      <c r="W153" s="269" t="e">
        <f t="shared" si="154"/>
        <v>#DIV/0!</v>
      </c>
      <c r="X153" s="235">
        <f t="shared" si="132"/>
        <v>0</v>
      </c>
      <c r="Y153" s="236">
        <f t="shared" si="155"/>
        <v>5</v>
      </c>
      <c r="Z153" s="236" t="e">
        <f t="shared" si="156"/>
        <v>#DIV/0!</v>
      </c>
      <c r="AA153" s="236">
        <f t="shared" si="157"/>
        <v>3</v>
      </c>
      <c r="AB153" s="236" t="e">
        <f t="shared" si="158"/>
        <v>#DIV/0!</v>
      </c>
      <c r="AC153" s="235">
        <f t="shared" si="159"/>
        <v>0</v>
      </c>
      <c r="AD153" s="235">
        <f t="shared" si="160"/>
        <v>0</v>
      </c>
      <c r="AE153" s="279">
        <f t="shared" si="161"/>
        <v>0</v>
      </c>
      <c r="AF153" s="232">
        <f t="shared" si="162"/>
        <v>0</v>
      </c>
      <c r="AG153" s="235">
        <f t="shared" si="163"/>
        <v>0</v>
      </c>
      <c r="AH153" s="269">
        <f t="shared" si="164"/>
        <v>0</v>
      </c>
      <c r="AI153" s="232">
        <f t="shared" si="165"/>
        <v>0</v>
      </c>
      <c r="AJ153" s="235">
        <f t="shared" si="166"/>
        <v>0</v>
      </c>
      <c r="AK153" s="269">
        <f t="shared" si="167"/>
        <v>0</v>
      </c>
      <c r="AL153" s="269">
        <f t="shared" si="133"/>
        <v>0</v>
      </c>
      <c r="AM153" s="281" t="e">
        <f>IF(B153&gt;=mpfo,pos*vvm*Dados!$E$122*(ntudv-SUM(U154:$U$301))-SUM($AM$13:AM152),0)</f>
        <v>#DIV/0!</v>
      </c>
      <c r="AN153" s="269" t="e">
        <f t="shared" si="168"/>
        <v>#DIV/0!</v>
      </c>
      <c r="AO153" s="232" t="e">
        <f t="shared" si="169"/>
        <v>#DIV/0!</v>
      </c>
      <c r="AP153" s="242" t="e">
        <f t="shared" si="170"/>
        <v>#DIV/0!</v>
      </c>
      <c r="AQ153" s="235" t="e">
        <f>IF(AP153+SUM($AQ$12:AQ152)&gt;=0,0,-AP153-SUM($AQ$12:AQ152))</f>
        <v>#DIV/0!</v>
      </c>
      <c r="AR153" s="235">
        <f>IF(SUM($N$13:N152)&gt;=pmo,IF(SUM(N152:$N$501)&gt;(1-pmo),B153,0),0)</f>
        <v>0</v>
      </c>
      <c r="AS153" s="235" t="e">
        <f>IF((SUM($U$13:$U152)/ntudv)&gt;=pmv,IF((SUM($U152:$U$501)/ntudv)&gt;(1-pmv),B153,0),0)</f>
        <v>#DIV/0!</v>
      </c>
      <c r="AT153" s="237" t="e">
        <f>IF(MAX(mmo,mmv)=mmo,IF(B153=AR153,(SUM(N$13:$N152)-pmo)/((1-VLOOKUP(MAX(mmo,mmv)-1,$B$13:$O$501,14))+(VLOOKUP(MAX(mmo,mmv)-1,$B$13:$O$501,14)-pmo)),N152/((1-VLOOKUP(MAX(mmo,mmv)-1,$B$13:$O$501,14)+(VLOOKUP(MAX(mmo,mmv)-1,$B$13:$O$501,14)-pmo)))),N152/(1-VLOOKUP(MAX(mmo,mmv)-2,$B$13:$O$501,14)))</f>
        <v>#DIV/0!</v>
      </c>
      <c r="AU153" s="101" t="e">
        <f t="shared" si="134"/>
        <v>#DIV/0!</v>
      </c>
      <c r="AV153" s="287" t="e">
        <f t="shared" si="135"/>
        <v>#DIV/0!</v>
      </c>
      <c r="AW153" s="235" t="e">
        <f t="shared" si="171"/>
        <v>#DIV/0!</v>
      </c>
      <c r="AX153" s="281">
        <f>IF(B153&gt;mpfo,0,IF(B153=mpfo,(vld-teo*(1+tcfo-incc)^(MAX(mmo,mmv)-mbfo))*-1,IF(SUM($N$13:N152)&gt;=pmo,IF(($V152/ntudv)&gt;=pmv,IF(B153=MAX(mmo,mmv),-teo*(1+tcfo-incc)^(B153-mbfo),0),0),0)))</f>
        <v>0</v>
      </c>
      <c r="AY153" s="292" t="e">
        <f t="shared" si="136"/>
        <v>#DIV/0!</v>
      </c>
      <c r="AZ153" s="235" t="e">
        <f t="shared" si="172"/>
        <v>#DIV/0!</v>
      </c>
      <c r="BA153" s="269" t="e">
        <f t="shared" si="173"/>
        <v>#DIV/0!</v>
      </c>
      <c r="BB153" s="292" t="e">
        <f t="shared" si="174"/>
        <v>#DIV/0!</v>
      </c>
      <c r="BC153" s="238" t="e">
        <f>IF(SUM($BC$13:BC152)&gt;0,0,IF(BB153&gt;0,B153,0))</f>
        <v>#DIV/0!</v>
      </c>
      <c r="BD153" s="292" t="e">
        <f>IF(BB153+SUM($BD$12:BD152)&gt;=0,0,-BB153-SUM($BD$12:BD152))</f>
        <v>#DIV/0!</v>
      </c>
      <c r="BE153" s="235" t="e">
        <f>BB153+SUM($BD$12:BD153)</f>
        <v>#DIV/0!</v>
      </c>
      <c r="BF153" s="292" t="e">
        <f>-MIN(BE153:$BE$501)-SUM(BF$12:$BF152)</f>
        <v>#DIV/0!</v>
      </c>
      <c r="BG153" s="235" t="e">
        <f t="shared" si="139"/>
        <v>#DIV/0!</v>
      </c>
    </row>
    <row r="154" spans="2:59">
      <c r="B154" s="246">
        <v>141</v>
      </c>
      <c r="C154" s="241">
        <f t="shared" si="138"/>
        <v>46970</v>
      </c>
      <c r="D154" s="229">
        <f t="shared" si="140"/>
        <v>8</v>
      </c>
      <c r="E154" s="230" t="str">
        <f t="shared" si="141"/>
        <v>-</v>
      </c>
      <c r="F154" s="231">
        <f t="shared" si="142"/>
        <v>0</v>
      </c>
      <c r="G154" s="231">
        <f t="shared" si="143"/>
        <v>0</v>
      </c>
      <c r="H154" s="231">
        <f t="shared" si="144"/>
        <v>0</v>
      </c>
      <c r="I154" s="268">
        <f t="shared" si="129"/>
        <v>0</v>
      </c>
      <c r="J154" s="269">
        <f t="shared" si="145"/>
        <v>0</v>
      </c>
      <c r="K154" s="269">
        <f t="shared" si="146"/>
        <v>0</v>
      </c>
      <c r="L154" s="269">
        <f t="shared" si="130"/>
        <v>0</v>
      </c>
      <c r="M154" s="269">
        <f t="shared" si="131"/>
        <v>0</v>
      </c>
      <c r="N154" s="233">
        <f>VLOOKUP(B154,Dados!$L$86:$P$90,5)</f>
        <v>0</v>
      </c>
      <c r="O154" s="270">
        <f t="shared" si="147"/>
        <v>0.99999999999999989</v>
      </c>
      <c r="P154" s="269">
        <f t="shared" si="148"/>
        <v>0</v>
      </c>
      <c r="Q154" s="269" t="e">
        <f t="shared" si="149"/>
        <v>#DIV/0!</v>
      </c>
      <c r="R154" s="269">
        <f t="shared" si="150"/>
        <v>0</v>
      </c>
      <c r="S154" s="269" t="e">
        <f t="shared" si="151"/>
        <v>#DIV/0!</v>
      </c>
      <c r="T154" s="269" t="e">
        <f t="shared" si="137"/>
        <v>#DIV/0!</v>
      </c>
      <c r="U154" s="234">
        <f t="shared" si="152"/>
        <v>0</v>
      </c>
      <c r="V154" s="232" t="e">
        <f t="shared" si="153"/>
        <v>#DIV/0!</v>
      </c>
      <c r="W154" s="269" t="e">
        <f t="shared" si="154"/>
        <v>#DIV/0!</v>
      </c>
      <c r="X154" s="235">
        <f t="shared" si="132"/>
        <v>0</v>
      </c>
      <c r="Y154" s="236">
        <f t="shared" si="155"/>
        <v>5</v>
      </c>
      <c r="Z154" s="236" t="e">
        <f t="shared" si="156"/>
        <v>#DIV/0!</v>
      </c>
      <c r="AA154" s="236">
        <f t="shared" si="157"/>
        <v>3</v>
      </c>
      <c r="AB154" s="236" t="e">
        <f t="shared" si="158"/>
        <v>#DIV/0!</v>
      </c>
      <c r="AC154" s="235">
        <f t="shared" si="159"/>
        <v>0</v>
      </c>
      <c r="AD154" s="235">
        <f t="shared" si="160"/>
        <v>0</v>
      </c>
      <c r="AE154" s="279">
        <f t="shared" si="161"/>
        <v>0</v>
      </c>
      <c r="AF154" s="232">
        <f t="shared" si="162"/>
        <v>0</v>
      </c>
      <c r="AG154" s="235">
        <f t="shared" si="163"/>
        <v>0</v>
      </c>
      <c r="AH154" s="269">
        <f t="shared" si="164"/>
        <v>0</v>
      </c>
      <c r="AI154" s="232">
        <f t="shared" si="165"/>
        <v>0</v>
      </c>
      <c r="AJ154" s="235">
        <f t="shared" si="166"/>
        <v>0</v>
      </c>
      <c r="AK154" s="269">
        <f t="shared" si="167"/>
        <v>0</v>
      </c>
      <c r="AL154" s="269">
        <f t="shared" si="133"/>
        <v>0</v>
      </c>
      <c r="AM154" s="281" t="e">
        <f>IF(B154&gt;=mpfo,pos*vvm*Dados!$E$122*(ntudv-SUM(U155:$U$301))-SUM($AM$13:AM153),0)</f>
        <v>#DIV/0!</v>
      </c>
      <c r="AN154" s="269" t="e">
        <f t="shared" si="168"/>
        <v>#DIV/0!</v>
      </c>
      <c r="AO154" s="232" t="e">
        <f t="shared" si="169"/>
        <v>#DIV/0!</v>
      </c>
      <c r="AP154" s="242" t="e">
        <f t="shared" si="170"/>
        <v>#DIV/0!</v>
      </c>
      <c r="AQ154" s="235" t="e">
        <f>IF(AP154+SUM($AQ$12:AQ153)&gt;=0,0,-AP154-SUM($AQ$12:AQ153))</f>
        <v>#DIV/0!</v>
      </c>
      <c r="AR154" s="235">
        <f>IF(SUM($N$13:N153)&gt;=pmo,IF(SUM(N153:$N$501)&gt;(1-pmo),B154,0),0)</f>
        <v>0</v>
      </c>
      <c r="AS154" s="235" t="e">
        <f>IF((SUM($U$13:$U153)/ntudv)&gt;=pmv,IF((SUM($U153:$U$501)/ntudv)&gt;(1-pmv),B154,0),0)</f>
        <v>#DIV/0!</v>
      </c>
      <c r="AT154" s="237" t="e">
        <f>IF(MAX(mmo,mmv)=mmo,IF(B154=AR154,(SUM(N$13:$N153)-pmo)/((1-VLOOKUP(MAX(mmo,mmv)-1,$B$13:$O$501,14))+(VLOOKUP(MAX(mmo,mmv)-1,$B$13:$O$501,14)-pmo)),N153/((1-VLOOKUP(MAX(mmo,mmv)-1,$B$13:$O$501,14)+(VLOOKUP(MAX(mmo,mmv)-1,$B$13:$O$501,14)-pmo)))),N153/(1-VLOOKUP(MAX(mmo,mmv)-2,$B$13:$O$501,14)))</f>
        <v>#DIV/0!</v>
      </c>
      <c r="AU154" s="101" t="e">
        <f t="shared" si="134"/>
        <v>#DIV/0!</v>
      </c>
      <c r="AV154" s="287" t="e">
        <f t="shared" si="135"/>
        <v>#DIV/0!</v>
      </c>
      <c r="AW154" s="235" t="e">
        <f t="shared" si="171"/>
        <v>#DIV/0!</v>
      </c>
      <c r="AX154" s="281">
        <f>IF(B154&gt;mpfo,0,IF(B154=mpfo,(vld-teo*(1+tcfo-incc)^(MAX(mmo,mmv)-mbfo))*-1,IF(SUM($N$13:N153)&gt;=pmo,IF(($V153/ntudv)&gt;=pmv,IF(B154=MAX(mmo,mmv),-teo*(1+tcfo-incc)^(B154-mbfo),0),0),0)))</f>
        <v>0</v>
      </c>
      <c r="AY154" s="292" t="e">
        <f t="shared" si="136"/>
        <v>#DIV/0!</v>
      </c>
      <c r="AZ154" s="235" t="e">
        <f t="shared" si="172"/>
        <v>#DIV/0!</v>
      </c>
      <c r="BA154" s="269" t="e">
        <f t="shared" si="173"/>
        <v>#DIV/0!</v>
      </c>
      <c r="BB154" s="292" t="e">
        <f t="shared" si="174"/>
        <v>#DIV/0!</v>
      </c>
      <c r="BC154" s="238" t="e">
        <f>IF(SUM($BC$13:BC153)&gt;0,0,IF(BB154&gt;0,B154,0))</f>
        <v>#DIV/0!</v>
      </c>
      <c r="BD154" s="292" t="e">
        <f>IF(BB154+SUM($BD$12:BD153)&gt;=0,0,-BB154-SUM($BD$12:BD153))</f>
        <v>#DIV/0!</v>
      </c>
      <c r="BE154" s="235" t="e">
        <f>BB154+SUM($BD$12:BD154)</f>
        <v>#DIV/0!</v>
      </c>
      <c r="BF154" s="292" t="e">
        <f>-MIN(BE154:$BE$501)-SUM(BF$12:$BF153)</f>
        <v>#DIV/0!</v>
      </c>
      <c r="BG154" s="235" t="e">
        <f t="shared" si="139"/>
        <v>#DIV/0!</v>
      </c>
    </row>
    <row r="155" spans="2:59">
      <c r="B155" s="120">
        <v>142</v>
      </c>
      <c r="C155" s="241">
        <f t="shared" si="138"/>
        <v>47001</v>
      </c>
      <c r="D155" s="229">
        <f t="shared" si="140"/>
        <v>9</v>
      </c>
      <c r="E155" s="230" t="str">
        <f t="shared" si="141"/>
        <v>-</v>
      </c>
      <c r="F155" s="231">
        <f t="shared" si="142"/>
        <v>0</v>
      </c>
      <c r="G155" s="231">
        <f t="shared" si="143"/>
        <v>0</v>
      </c>
      <c r="H155" s="231">
        <f t="shared" si="144"/>
        <v>0</v>
      </c>
      <c r="I155" s="268">
        <f t="shared" si="129"/>
        <v>0</v>
      </c>
      <c r="J155" s="269">
        <f t="shared" si="145"/>
        <v>0</v>
      </c>
      <c r="K155" s="269">
        <f t="shared" si="146"/>
        <v>0</v>
      </c>
      <c r="L155" s="269">
        <f t="shared" si="130"/>
        <v>0</v>
      </c>
      <c r="M155" s="269">
        <f t="shared" si="131"/>
        <v>0</v>
      </c>
      <c r="N155" s="233">
        <f>VLOOKUP(B155,Dados!$L$86:$P$90,5)</f>
        <v>0</v>
      </c>
      <c r="O155" s="270">
        <f t="shared" si="147"/>
        <v>0.99999999999999989</v>
      </c>
      <c r="P155" s="269">
        <f t="shared" si="148"/>
        <v>0</v>
      </c>
      <c r="Q155" s="269" t="e">
        <f t="shared" si="149"/>
        <v>#DIV/0!</v>
      </c>
      <c r="R155" s="269">
        <f t="shared" si="150"/>
        <v>0</v>
      </c>
      <c r="S155" s="269" t="e">
        <f t="shared" si="151"/>
        <v>#DIV/0!</v>
      </c>
      <c r="T155" s="269" t="e">
        <f t="shared" si="137"/>
        <v>#DIV/0!</v>
      </c>
      <c r="U155" s="234">
        <f t="shared" si="152"/>
        <v>0</v>
      </c>
      <c r="V155" s="232" t="e">
        <f t="shared" si="153"/>
        <v>#DIV/0!</v>
      </c>
      <c r="W155" s="269" t="e">
        <f t="shared" si="154"/>
        <v>#DIV/0!</v>
      </c>
      <c r="X155" s="235">
        <f t="shared" si="132"/>
        <v>0</v>
      </c>
      <c r="Y155" s="236">
        <f t="shared" si="155"/>
        <v>5</v>
      </c>
      <c r="Z155" s="236" t="e">
        <f t="shared" si="156"/>
        <v>#DIV/0!</v>
      </c>
      <c r="AA155" s="236">
        <f t="shared" si="157"/>
        <v>3</v>
      </c>
      <c r="AB155" s="236" t="e">
        <f t="shared" si="158"/>
        <v>#DIV/0!</v>
      </c>
      <c r="AC155" s="235">
        <f t="shared" si="159"/>
        <v>0</v>
      </c>
      <c r="AD155" s="235">
        <f t="shared" si="160"/>
        <v>0</v>
      </c>
      <c r="AE155" s="279">
        <f t="shared" si="161"/>
        <v>0</v>
      </c>
      <c r="AF155" s="232">
        <f t="shared" si="162"/>
        <v>0</v>
      </c>
      <c r="AG155" s="235">
        <f t="shared" si="163"/>
        <v>0</v>
      </c>
      <c r="AH155" s="269">
        <f t="shared" si="164"/>
        <v>0</v>
      </c>
      <c r="AI155" s="232">
        <f t="shared" si="165"/>
        <v>0</v>
      </c>
      <c r="AJ155" s="235">
        <f t="shared" si="166"/>
        <v>0</v>
      </c>
      <c r="AK155" s="269">
        <f t="shared" si="167"/>
        <v>0</v>
      </c>
      <c r="AL155" s="269">
        <f t="shared" si="133"/>
        <v>0</v>
      </c>
      <c r="AM155" s="281" t="e">
        <f>IF(B155&gt;=mpfo,pos*vvm*Dados!$E$122*(ntudv-SUM(U156:$U$301))-SUM($AM$13:AM154),0)</f>
        <v>#DIV/0!</v>
      </c>
      <c r="AN155" s="269" t="e">
        <f t="shared" si="168"/>
        <v>#DIV/0!</v>
      </c>
      <c r="AO155" s="232" t="e">
        <f t="shared" si="169"/>
        <v>#DIV/0!</v>
      </c>
      <c r="AP155" s="242" t="e">
        <f t="shared" si="170"/>
        <v>#DIV/0!</v>
      </c>
      <c r="AQ155" s="235" t="e">
        <f>IF(AP155+SUM($AQ$12:AQ154)&gt;=0,0,-AP155-SUM($AQ$12:AQ154))</f>
        <v>#DIV/0!</v>
      </c>
      <c r="AR155" s="235">
        <f>IF(SUM($N$13:N154)&gt;=pmo,IF(SUM(N154:$N$501)&gt;(1-pmo),B155,0),0)</f>
        <v>0</v>
      </c>
      <c r="AS155" s="235" t="e">
        <f>IF((SUM($U$13:$U154)/ntudv)&gt;=pmv,IF((SUM($U154:$U$501)/ntudv)&gt;(1-pmv),B155,0),0)</f>
        <v>#DIV/0!</v>
      </c>
      <c r="AT155" s="237" t="e">
        <f>IF(MAX(mmo,mmv)=mmo,IF(B155=AR155,(SUM(N$13:$N154)-pmo)/((1-VLOOKUP(MAX(mmo,mmv)-1,$B$13:$O$501,14))+(VLOOKUP(MAX(mmo,mmv)-1,$B$13:$O$501,14)-pmo)),N154/((1-VLOOKUP(MAX(mmo,mmv)-1,$B$13:$O$501,14)+(VLOOKUP(MAX(mmo,mmv)-1,$B$13:$O$501,14)-pmo)))),N154/(1-VLOOKUP(MAX(mmo,mmv)-2,$B$13:$O$501,14)))</f>
        <v>#DIV/0!</v>
      </c>
      <c r="AU155" s="101" t="e">
        <f t="shared" si="134"/>
        <v>#DIV/0!</v>
      </c>
      <c r="AV155" s="287" t="e">
        <f t="shared" si="135"/>
        <v>#DIV/0!</v>
      </c>
      <c r="AW155" s="235" t="e">
        <f t="shared" si="171"/>
        <v>#DIV/0!</v>
      </c>
      <c r="AX155" s="281">
        <f>IF(B155&gt;mpfo,0,IF(B155=mpfo,(vld-teo*(1+tcfo-incc)^(MAX(mmo,mmv)-mbfo))*-1,IF(SUM($N$13:N154)&gt;=pmo,IF(($V154/ntudv)&gt;=pmv,IF(B155=MAX(mmo,mmv),-teo*(1+tcfo-incc)^(B155-mbfo),0),0),0)))</f>
        <v>0</v>
      </c>
      <c r="AY155" s="292" t="e">
        <f t="shared" si="136"/>
        <v>#DIV/0!</v>
      </c>
      <c r="AZ155" s="235" t="e">
        <f t="shared" si="172"/>
        <v>#DIV/0!</v>
      </c>
      <c r="BA155" s="269" t="e">
        <f t="shared" si="173"/>
        <v>#DIV/0!</v>
      </c>
      <c r="BB155" s="292" t="e">
        <f t="shared" si="174"/>
        <v>#DIV/0!</v>
      </c>
      <c r="BC155" s="238" t="e">
        <f>IF(SUM($BC$13:BC154)&gt;0,0,IF(BB155&gt;0,B155,0))</f>
        <v>#DIV/0!</v>
      </c>
      <c r="BD155" s="292" t="e">
        <f>IF(BB155+SUM($BD$12:BD154)&gt;=0,0,-BB155-SUM($BD$12:BD154))</f>
        <v>#DIV/0!</v>
      </c>
      <c r="BE155" s="235" t="e">
        <f>BB155+SUM($BD$12:BD155)</f>
        <v>#DIV/0!</v>
      </c>
      <c r="BF155" s="292" t="e">
        <f>-MIN(BE155:$BE$501)-SUM(BF$12:$BF154)</f>
        <v>#DIV/0!</v>
      </c>
      <c r="BG155" s="235" t="e">
        <f t="shared" si="139"/>
        <v>#DIV/0!</v>
      </c>
    </row>
    <row r="156" spans="2:59">
      <c r="B156" s="246">
        <v>143</v>
      </c>
      <c r="C156" s="241">
        <f t="shared" si="138"/>
        <v>47031</v>
      </c>
      <c r="D156" s="229">
        <f t="shared" si="140"/>
        <v>10</v>
      </c>
      <c r="E156" s="230" t="str">
        <f t="shared" si="141"/>
        <v>-</v>
      </c>
      <c r="F156" s="231">
        <f t="shared" si="142"/>
        <v>0</v>
      </c>
      <c r="G156" s="231">
        <f t="shared" si="143"/>
        <v>0</v>
      </c>
      <c r="H156" s="231">
        <f t="shared" si="144"/>
        <v>0</v>
      </c>
      <c r="I156" s="268">
        <f t="shared" si="129"/>
        <v>0</v>
      </c>
      <c r="J156" s="269">
        <f t="shared" si="145"/>
        <v>0</v>
      </c>
      <c r="K156" s="269">
        <f t="shared" si="146"/>
        <v>0</v>
      </c>
      <c r="L156" s="269">
        <f t="shared" si="130"/>
        <v>0</v>
      </c>
      <c r="M156" s="269">
        <f t="shared" si="131"/>
        <v>0</v>
      </c>
      <c r="N156" s="233">
        <f>VLOOKUP(B156,Dados!$L$86:$P$90,5)</f>
        <v>0</v>
      </c>
      <c r="O156" s="270">
        <f t="shared" si="147"/>
        <v>0.99999999999999989</v>
      </c>
      <c r="P156" s="269">
        <f t="shared" si="148"/>
        <v>0</v>
      </c>
      <c r="Q156" s="269" t="e">
        <f t="shared" si="149"/>
        <v>#DIV/0!</v>
      </c>
      <c r="R156" s="269">
        <f t="shared" si="150"/>
        <v>0</v>
      </c>
      <c r="S156" s="269" t="e">
        <f t="shared" si="151"/>
        <v>#DIV/0!</v>
      </c>
      <c r="T156" s="269" t="e">
        <f t="shared" si="137"/>
        <v>#DIV/0!</v>
      </c>
      <c r="U156" s="234">
        <f t="shared" si="152"/>
        <v>0</v>
      </c>
      <c r="V156" s="232" t="e">
        <f t="shared" si="153"/>
        <v>#DIV/0!</v>
      </c>
      <c r="W156" s="269" t="e">
        <f t="shared" si="154"/>
        <v>#DIV/0!</v>
      </c>
      <c r="X156" s="235">
        <f t="shared" si="132"/>
        <v>0</v>
      </c>
      <c r="Y156" s="236">
        <f t="shared" si="155"/>
        <v>5</v>
      </c>
      <c r="Z156" s="236" t="e">
        <f t="shared" si="156"/>
        <v>#DIV/0!</v>
      </c>
      <c r="AA156" s="236">
        <f t="shared" si="157"/>
        <v>3</v>
      </c>
      <c r="AB156" s="236" t="e">
        <f t="shared" si="158"/>
        <v>#DIV/0!</v>
      </c>
      <c r="AC156" s="235">
        <f t="shared" si="159"/>
        <v>0</v>
      </c>
      <c r="AD156" s="235">
        <f t="shared" si="160"/>
        <v>0</v>
      </c>
      <c r="AE156" s="279">
        <f t="shared" si="161"/>
        <v>0</v>
      </c>
      <c r="AF156" s="232">
        <f t="shared" si="162"/>
        <v>0</v>
      </c>
      <c r="AG156" s="235">
        <f t="shared" si="163"/>
        <v>0</v>
      </c>
      <c r="AH156" s="269">
        <f t="shared" si="164"/>
        <v>0</v>
      </c>
      <c r="AI156" s="232">
        <f t="shared" si="165"/>
        <v>0</v>
      </c>
      <c r="AJ156" s="235">
        <f t="shared" si="166"/>
        <v>0</v>
      </c>
      <c r="AK156" s="269">
        <f t="shared" si="167"/>
        <v>0</v>
      </c>
      <c r="AL156" s="269">
        <f t="shared" si="133"/>
        <v>0</v>
      </c>
      <c r="AM156" s="281" t="e">
        <f>IF(B156&gt;=mpfo,pos*vvm*Dados!$E$122*(ntudv-SUM(U157:$U$301))-SUM($AM$13:AM155),0)</f>
        <v>#DIV/0!</v>
      </c>
      <c r="AN156" s="269" t="e">
        <f t="shared" si="168"/>
        <v>#DIV/0!</v>
      </c>
      <c r="AO156" s="232" t="e">
        <f t="shared" si="169"/>
        <v>#DIV/0!</v>
      </c>
      <c r="AP156" s="242" t="e">
        <f t="shared" si="170"/>
        <v>#DIV/0!</v>
      </c>
      <c r="AQ156" s="235" t="e">
        <f>IF(AP156+SUM($AQ$12:AQ155)&gt;=0,0,-AP156-SUM($AQ$12:AQ155))</f>
        <v>#DIV/0!</v>
      </c>
      <c r="AR156" s="235">
        <f>IF(SUM($N$13:N155)&gt;=pmo,IF(SUM(N155:$N$501)&gt;(1-pmo),B156,0),0)</f>
        <v>0</v>
      </c>
      <c r="AS156" s="235" t="e">
        <f>IF((SUM($U$13:$U155)/ntudv)&gt;=pmv,IF((SUM($U155:$U$501)/ntudv)&gt;(1-pmv),B156,0),0)</f>
        <v>#DIV/0!</v>
      </c>
      <c r="AT156" s="237" t="e">
        <f>IF(MAX(mmo,mmv)=mmo,IF(B156=AR156,(SUM(N$13:$N155)-pmo)/((1-VLOOKUP(MAX(mmo,mmv)-1,$B$13:$O$501,14))+(VLOOKUP(MAX(mmo,mmv)-1,$B$13:$O$501,14)-pmo)),N155/((1-VLOOKUP(MAX(mmo,mmv)-1,$B$13:$O$501,14)+(VLOOKUP(MAX(mmo,mmv)-1,$B$13:$O$501,14)-pmo)))),N155/(1-VLOOKUP(MAX(mmo,mmv)-2,$B$13:$O$501,14)))</f>
        <v>#DIV/0!</v>
      </c>
      <c r="AU156" s="101" t="e">
        <f t="shared" si="134"/>
        <v>#DIV/0!</v>
      </c>
      <c r="AV156" s="287" t="e">
        <f t="shared" si="135"/>
        <v>#DIV/0!</v>
      </c>
      <c r="AW156" s="235" t="e">
        <f t="shared" si="171"/>
        <v>#DIV/0!</v>
      </c>
      <c r="AX156" s="281">
        <f>IF(B156&gt;mpfo,0,IF(B156=mpfo,(vld-teo*(1+tcfo-incc)^(MAX(mmo,mmv)-mbfo))*-1,IF(SUM($N$13:N155)&gt;=pmo,IF(($V155/ntudv)&gt;=pmv,IF(B156=MAX(mmo,mmv),-teo*(1+tcfo-incc)^(B156-mbfo),0),0),0)))</f>
        <v>0</v>
      </c>
      <c r="AY156" s="292" t="e">
        <f t="shared" si="136"/>
        <v>#DIV/0!</v>
      </c>
      <c r="AZ156" s="235" t="e">
        <f t="shared" si="172"/>
        <v>#DIV/0!</v>
      </c>
      <c r="BA156" s="269" t="e">
        <f t="shared" si="173"/>
        <v>#DIV/0!</v>
      </c>
      <c r="BB156" s="292" t="e">
        <f t="shared" si="174"/>
        <v>#DIV/0!</v>
      </c>
      <c r="BC156" s="238" t="e">
        <f>IF(SUM($BC$13:BC155)&gt;0,0,IF(BB156&gt;0,B156,0))</f>
        <v>#DIV/0!</v>
      </c>
      <c r="BD156" s="292" t="e">
        <f>IF(BB156+SUM($BD$12:BD155)&gt;=0,0,-BB156-SUM($BD$12:BD155))</f>
        <v>#DIV/0!</v>
      </c>
      <c r="BE156" s="235" t="e">
        <f>BB156+SUM($BD$12:BD156)</f>
        <v>#DIV/0!</v>
      </c>
      <c r="BF156" s="292" t="e">
        <f>-MIN(BE156:$BE$501)-SUM(BF$12:$BF155)</f>
        <v>#DIV/0!</v>
      </c>
      <c r="BG156" s="235" t="e">
        <f t="shared" si="139"/>
        <v>#DIV/0!</v>
      </c>
    </row>
    <row r="157" spans="2:59">
      <c r="B157" s="120">
        <v>144</v>
      </c>
      <c r="C157" s="241">
        <f t="shared" si="138"/>
        <v>47062</v>
      </c>
      <c r="D157" s="229">
        <f t="shared" si="140"/>
        <v>11</v>
      </c>
      <c r="E157" s="230" t="str">
        <f t="shared" si="141"/>
        <v>-</v>
      </c>
      <c r="F157" s="231">
        <f t="shared" si="142"/>
        <v>0</v>
      </c>
      <c r="G157" s="231">
        <f t="shared" si="143"/>
        <v>0</v>
      </c>
      <c r="H157" s="231">
        <f t="shared" si="144"/>
        <v>0</v>
      </c>
      <c r="I157" s="268">
        <f t="shared" si="129"/>
        <v>0</v>
      </c>
      <c r="J157" s="269">
        <f t="shared" si="145"/>
        <v>0</v>
      </c>
      <c r="K157" s="269">
        <f t="shared" si="146"/>
        <v>0</v>
      </c>
      <c r="L157" s="269">
        <f t="shared" si="130"/>
        <v>0</v>
      </c>
      <c r="M157" s="269">
        <f t="shared" si="131"/>
        <v>0</v>
      </c>
      <c r="N157" s="233">
        <f>VLOOKUP(B157,Dados!$L$86:$P$90,5)</f>
        <v>0</v>
      </c>
      <c r="O157" s="270">
        <f t="shared" si="147"/>
        <v>0.99999999999999989</v>
      </c>
      <c r="P157" s="269">
        <f t="shared" si="148"/>
        <v>0</v>
      </c>
      <c r="Q157" s="269" t="e">
        <f t="shared" si="149"/>
        <v>#DIV/0!</v>
      </c>
      <c r="R157" s="269">
        <f t="shared" si="150"/>
        <v>0</v>
      </c>
      <c r="S157" s="269" t="e">
        <f t="shared" si="151"/>
        <v>#DIV/0!</v>
      </c>
      <c r="T157" s="269" t="e">
        <f t="shared" si="137"/>
        <v>#DIV/0!</v>
      </c>
      <c r="U157" s="234">
        <f t="shared" si="152"/>
        <v>0</v>
      </c>
      <c r="V157" s="232" t="e">
        <f t="shared" si="153"/>
        <v>#DIV/0!</v>
      </c>
      <c r="W157" s="269" t="e">
        <f t="shared" si="154"/>
        <v>#DIV/0!</v>
      </c>
      <c r="X157" s="235">
        <f t="shared" si="132"/>
        <v>0</v>
      </c>
      <c r="Y157" s="236">
        <f t="shared" si="155"/>
        <v>5</v>
      </c>
      <c r="Z157" s="236" t="e">
        <f t="shared" si="156"/>
        <v>#DIV/0!</v>
      </c>
      <c r="AA157" s="236">
        <f t="shared" si="157"/>
        <v>3</v>
      </c>
      <c r="AB157" s="236" t="e">
        <f t="shared" si="158"/>
        <v>#DIV/0!</v>
      </c>
      <c r="AC157" s="235">
        <f t="shared" si="159"/>
        <v>0</v>
      </c>
      <c r="AD157" s="235">
        <f t="shared" si="160"/>
        <v>0</v>
      </c>
      <c r="AE157" s="279">
        <f t="shared" si="161"/>
        <v>0</v>
      </c>
      <c r="AF157" s="232">
        <f t="shared" si="162"/>
        <v>0</v>
      </c>
      <c r="AG157" s="235">
        <f t="shared" si="163"/>
        <v>0</v>
      </c>
      <c r="AH157" s="269">
        <f t="shared" si="164"/>
        <v>0</v>
      </c>
      <c r="AI157" s="232">
        <f t="shared" si="165"/>
        <v>0</v>
      </c>
      <c r="AJ157" s="235">
        <f t="shared" si="166"/>
        <v>0</v>
      </c>
      <c r="AK157" s="269">
        <f t="shared" si="167"/>
        <v>0</v>
      </c>
      <c r="AL157" s="269">
        <f t="shared" si="133"/>
        <v>0</v>
      </c>
      <c r="AM157" s="281" t="e">
        <f>IF(B157&gt;=mpfo,pos*vvm*Dados!$E$122*(ntudv-SUM(U158:$U$301))-SUM($AM$13:AM156),0)</f>
        <v>#DIV/0!</v>
      </c>
      <c r="AN157" s="269" t="e">
        <f t="shared" si="168"/>
        <v>#DIV/0!</v>
      </c>
      <c r="AO157" s="232" t="e">
        <f t="shared" si="169"/>
        <v>#DIV/0!</v>
      </c>
      <c r="AP157" s="242" t="e">
        <f t="shared" si="170"/>
        <v>#DIV/0!</v>
      </c>
      <c r="AQ157" s="235" t="e">
        <f>IF(AP157+SUM($AQ$12:AQ156)&gt;=0,0,-AP157-SUM($AQ$12:AQ156))</f>
        <v>#DIV/0!</v>
      </c>
      <c r="AR157" s="235">
        <f>IF(SUM($N$13:N156)&gt;=pmo,IF(SUM(N156:$N$501)&gt;(1-pmo),B157,0),0)</f>
        <v>0</v>
      </c>
      <c r="AS157" s="235" t="e">
        <f>IF((SUM($U$13:$U156)/ntudv)&gt;=pmv,IF((SUM($U156:$U$501)/ntudv)&gt;(1-pmv),B157,0),0)</f>
        <v>#DIV/0!</v>
      </c>
      <c r="AT157" s="237" t="e">
        <f>IF(MAX(mmo,mmv)=mmo,IF(B157=AR157,(SUM(N$13:$N156)-pmo)/((1-VLOOKUP(MAX(mmo,mmv)-1,$B$13:$O$501,14))+(VLOOKUP(MAX(mmo,mmv)-1,$B$13:$O$501,14)-pmo)),N156/((1-VLOOKUP(MAX(mmo,mmv)-1,$B$13:$O$501,14)+(VLOOKUP(MAX(mmo,mmv)-1,$B$13:$O$501,14)-pmo)))),N156/(1-VLOOKUP(MAX(mmo,mmv)-2,$B$13:$O$501,14)))</f>
        <v>#DIV/0!</v>
      </c>
      <c r="AU157" s="101" t="e">
        <f t="shared" si="134"/>
        <v>#DIV/0!</v>
      </c>
      <c r="AV157" s="287" t="e">
        <f t="shared" si="135"/>
        <v>#DIV/0!</v>
      </c>
      <c r="AW157" s="235" t="e">
        <f t="shared" si="171"/>
        <v>#DIV/0!</v>
      </c>
      <c r="AX157" s="281">
        <f>IF(B157&gt;mpfo,0,IF(B157=mpfo,(vld-teo*(1+tcfo-incc)^(MAX(mmo,mmv)-mbfo))*-1,IF(SUM($N$13:N156)&gt;=pmo,IF(($V156/ntudv)&gt;=pmv,IF(B157=MAX(mmo,mmv),-teo*(1+tcfo-incc)^(B157-mbfo),0),0),0)))</f>
        <v>0</v>
      </c>
      <c r="AY157" s="292" t="e">
        <f t="shared" si="136"/>
        <v>#DIV/0!</v>
      </c>
      <c r="AZ157" s="235" t="e">
        <f t="shared" si="172"/>
        <v>#DIV/0!</v>
      </c>
      <c r="BA157" s="269" t="e">
        <f t="shared" si="173"/>
        <v>#DIV/0!</v>
      </c>
      <c r="BB157" s="292" t="e">
        <f t="shared" si="174"/>
        <v>#DIV/0!</v>
      </c>
      <c r="BC157" s="238" t="e">
        <f>IF(SUM($BC$13:BC156)&gt;0,0,IF(BB157&gt;0,B157,0))</f>
        <v>#DIV/0!</v>
      </c>
      <c r="BD157" s="292" t="e">
        <f>IF(BB157+SUM($BD$12:BD156)&gt;=0,0,-BB157-SUM($BD$12:BD156))</f>
        <v>#DIV/0!</v>
      </c>
      <c r="BE157" s="235" t="e">
        <f>BB157+SUM($BD$12:BD157)</f>
        <v>#DIV/0!</v>
      </c>
      <c r="BF157" s="292" t="e">
        <f>-MIN(BE157:$BE$501)-SUM(BF$12:$BF156)</f>
        <v>#DIV/0!</v>
      </c>
      <c r="BG157" s="235" t="e">
        <f t="shared" si="139"/>
        <v>#DIV/0!</v>
      </c>
    </row>
    <row r="158" spans="2:59">
      <c r="B158" s="246">
        <v>145</v>
      </c>
      <c r="C158" s="241">
        <f t="shared" si="138"/>
        <v>47092</v>
      </c>
      <c r="D158" s="229">
        <f t="shared" si="140"/>
        <v>12</v>
      </c>
      <c r="E158" s="230" t="str">
        <f t="shared" si="141"/>
        <v>-</v>
      </c>
      <c r="F158" s="231">
        <f t="shared" si="142"/>
        <v>0</v>
      </c>
      <c r="G158" s="231">
        <f t="shared" si="143"/>
        <v>0</v>
      </c>
      <c r="H158" s="231">
        <f t="shared" si="144"/>
        <v>0</v>
      </c>
      <c r="I158" s="268">
        <f t="shared" si="129"/>
        <v>0</v>
      </c>
      <c r="J158" s="269">
        <f t="shared" si="145"/>
        <v>0</v>
      </c>
      <c r="K158" s="269">
        <f t="shared" si="146"/>
        <v>0</v>
      </c>
      <c r="L158" s="269">
        <f t="shared" si="130"/>
        <v>0</v>
      </c>
      <c r="M158" s="269">
        <f t="shared" si="131"/>
        <v>0</v>
      </c>
      <c r="N158" s="233">
        <f>VLOOKUP(B158,Dados!$L$86:$P$90,5)</f>
        <v>0</v>
      </c>
      <c r="O158" s="270">
        <f t="shared" si="147"/>
        <v>0.99999999999999989</v>
      </c>
      <c r="P158" s="269">
        <f t="shared" si="148"/>
        <v>0</v>
      </c>
      <c r="Q158" s="269" t="e">
        <f t="shared" si="149"/>
        <v>#DIV/0!</v>
      </c>
      <c r="R158" s="269">
        <f t="shared" si="150"/>
        <v>0</v>
      </c>
      <c r="S158" s="269" t="e">
        <f t="shared" si="151"/>
        <v>#DIV/0!</v>
      </c>
      <c r="T158" s="269" t="e">
        <f t="shared" si="137"/>
        <v>#DIV/0!</v>
      </c>
      <c r="U158" s="234">
        <f t="shared" si="152"/>
        <v>0</v>
      </c>
      <c r="V158" s="232" t="e">
        <f t="shared" si="153"/>
        <v>#DIV/0!</v>
      </c>
      <c r="W158" s="269" t="e">
        <f t="shared" si="154"/>
        <v>#DIV/0!</v>
      </c>
      <c r="X158" s="235">
        <f t="shared" si="132"/>
        <v>0</v>
      </c>
      <c r="Y158" s="236">
        <f t="shared" si="155"/>
        <v>5</v>
      </c>
      <c r="Z158" s="236" t="e">
        <f t="shared" si="156"/>
        <v>#DIV/0!</v>
      </c>
      <c r="AA158" s="236">
        <f t="shared" si="157"/>
        <v>3</v>
      </c>
      <c r="AB158" s="236" t="e">
        <f t="shared" si="158"/>
        <v>#DIV/0!</v>
      </c>
      <c r="AC158" s="235">
        <f t="shared" si="159"/>
        <v>0</v>
      </c>
      <c r="AD158" s="235">
        <f t="shared" si="160"/>
        <v>0</v>
      </c>
      <c r="AE158" s="279">
        <f t="shared" si="161"/>
        <v>0</v>
      </c>
      <c r="AF158" s="232">
        <f t="shared" si="162"/>
        <v>1</v>
      </c>
      <c r="AG158" s="235">
        <f t="shared" si="163"/>
        <v>0</v>
      </c>
      <c r="AH158" s="269">
        <f t="shared" si="164"/>
        <v>0</v>
      </c>
      <c r="AI158" s="232">
        <f t="shared" si="165"/>
        <v>1</v>
      </c>
      <c r="AJ158" s="235">
        <f t="shared" si="166"/>
        <v>0</v>
      </c>
      <c r="AK158" s="269">
        <f t="shared" si="167"/>
        <v>0</v>
      </c>
      <c r="AL158" s="269">
        <f t="shared" si="133"/>
        <v>0</v>
      </c>
      <c r="AM158" s="281" t="e">
        <f>IF(B158&gt;=mpfo,pos*vvm*Dados!$E$122*(ntudv-SUM(U159:$U$301))-SUM($AM$13:AM157),0)</f>
        <v>#DIV/0!</v>
      </c>
      <c r="AN158" s="269" t="e">
        <f t="shared" si="168"/>
        <v>#DIV/0!</v>
      </c>
      <c r="AO158" s="232" t="e">
        <f t="shared" si="169"/>
        <v>#DIV/0!</v>
      </c>
      <c r="AP158" s="242" t="e">
        <f t="shared" si="170"/>
        <v>#DIV/0!</v>
      </c>
      <c r="AQ158" s="235" t="e">
        <f>IF(AP158+SUM($AQ$12:AQ157)&gt;=0,0,-AP158-SUM($AQ$12:AQ157))</f>
        <v>#DIV/0!</v>
      </c>
      <c r="AR158" s="235">
        <f>IF(SUM($N$13:N157)&gt;=pmo,IF(SUM(N157:$N$501)&gt;(1-pmo),B158,0),0)</f>
        <v>0</v>
      </c>
      <c r="AS158" s="235" t="e">
        <f>IF((SUM($U$13:$U157)/ntudv)&gt;=pmv,IF((SUM($U157:$U$501)/ntudv)&gt;(1-pmv),B158,0),0)</f>
        <v>#DIV/0!</v>
      </c>
      <c r="AT158" s="237" t="e">
        <f>IF(MAX(mmo,mmv)=mmo,IF(B158=AR158,(SUM(N$13:$N157)-pmo)/((1-VLOOKUP(MAX(mmo,mmv)-1,$B$13:$O$501,14))+(VLOOKUP(MAX(mmo,mmv)-1,$B$13:$O$501,14)-pmo)),N157/((1-VLOOKUP(MAX(mmo,mmv)-1,$B$13:$O$501,14)+(VLOOKUP(MAX(mmo,mmv)-1,$B$13:$O$501,14)-pmo)))),N157/(1-VLOOKUP(MAX(mmo,mmv)-2,$B$13:$O$501,14)))</f>
        <v>#DIV/0!</v>
      </c>
      <c r="AU158" s="101" t="e">
        <f t="shared" si="134"/>
        <v>#DIV/0!</v>
      </c>
      <c r="AV158" s="287" t="e">
        <f t="shared" si="135"/>
        <v>#DIV/0!</v>
      </c>
      <c r="AW158" s="235" t="e">
        <f t="shared" si="171"/>
        <v>#DIV/0!</v>
      </c>
      <c r="AX158" s="281">
        <f>IF(B158&gt;mpfo,0,IF(B158=mpfo,(vld-teo*(1+tcfo-incc)^(MAX(mmo,mmv)-mbfo))*-1,IF(SUM($N$13:N157)&gt;=pmo,IF(($V157/ntudv)&gt;=pmv,IF(B158=MAX(mmo,mmv),-teo*(1+tcfo-incc)^(B158-mbfo),0),0),0)))</f>
        <v>0</v>
      </c>
      <c r="AY158" s="292" t="e">
        <f t="shared" si="136"/>
        <v>#DIV/0!</v>
      </c>
      <c r="AZ158" s="235" t="e">
        <f t="shared" si="172"/>
        <v>#DIV/0!</v>
      </c>
      <c r="BA158" s="269" t="e">
        <f t="shared" si="173"/>
        <v>#DIV/0!</v>
      </c>
      <c r="BB158" s="292" t="e">
        <f t="shared" si="174"/>
        <v>#DIV/0!</v>
      </c>
      <c r="BC158" s="238" t="e">
        <f>IF(SUM($BC$13:BC157)&gt;0,0,IF(BB158&gt;0,B158,0))</f>
        <v>#DIV/0!</v>
      </c>
      <c r="BD158" s="292" t="e">
        <f>IF(BB158+SUM($BD$12:BD157)&gt;=0,0,-BB158-SUM($BD$12:BD157))</f>
        <v>#DIV/0!</v>
      </c>
      <c r="BE158" s="235" t="e">
        <f>BB158+SUM($BD$12:BD158)</f>
        <v>#DIV/0!</v>
      </c>
      <c r="BF158" s="292" t="e">
        <f>-MIN(BE158:$BE$501)-SUM(BF$12:$BF157)</f>
        <v>#DIV/0!</v>
      </c>
      <c r="BG158" s="235" t="e">
        <f t="shared" si="139"/>
        <v>#DIV/0!</v>
      </c>
    </row>
    <row r="159" spans="2:59">
      <c r="B159" s="120">
        <v>146</v>
      </c>
      <c r="C159" s="241">
        <f t="shared" si="138"/>
        <v>47123</v>
      </c>
      <c r="D159" s="229">
        <f t="shared" si="140"/>
        <v>1</v>
      </c>
      <c r="E159" s="230" t="str">
        <f t="shared" si="141"/>
        <v>-</v>
      </c>
      <c r="F159" s="231">
        <f t="shared" si="142"/>
        <v>0</v>
      </c>
      <c r="G159" s="231">
        <f t="shared" si="143"/>
        <v>0</v>
      </c>
      <c r="H159" s="231">
        <f t="shared" si="144"/>
        <v>0</v>
      </c>
      <c r="I159" s="268">
        <f t="shared" si="129"/>
        <v>0</v>
      </c>
      <c r="J159" s="269">
        <f t="shared" si="145"/>
        <v>0</v>
      </c>
      <c r="K159" s="269">
        <f t="shared" si="146"/>
        <v>0</v>
      </c>
      <c r="L159" s="269">
        <f t="shared" si="130"/>
        <v>0</v>
      </c>
      <c r="M159" s="269">
        <f t="shared" si="131"/>
        <v>0</v>
      </c>
      <c r="N159" s="233">
        <f>VLOOKUP(B159,Dados!$L$86:$P$90,5)</f>
        <v>0</v>
      </c>
      <c r="O159" s="270">
        <f t="shared" si="147"/>
        <v>0.99999999999999989</v>
      </c>
      <c r="P159" s="269">
        <f t="shared" si="148"/>
        <v>0</v>
      </c>
      <c r="Q159" s="269" t="e">
        <f t="shared" si="149"/>
        <v>#DIV/0!</v>
      </c>
      <c r="R159" s="269">
        <f t="shared" si="150"/>
        <v>0</v>
      </c>
      <c r="S159" s="269" t="e">
        <f t="shared" si="151"/>
        <v>#DIV/0!</v>
      </c>
      <c r="T159" s="269" t="e">
        <f t="shared" si="137"/>
        <v>#DIV/0!</v>
      </c>
      <c r="U159" s="234">
        <f t="shared" si="152"/>
        <v>0</v>
      </c>
      <c r="V159" s="232" t="e">
        <f t="shared" si="153"/>
        <v>#DIV/0!</v>
      </c>
      <c r="W159" s="269" t="e">
        <f t="shared" si="154"/>
        <v>#DIV/0!</v>
      </c>
      <c r="X159" s="235">
        <f t="shared" si="132"/>
        <v>0</v>
      </c>
      <c r="Y159" s="236">
        <f t="shared" si="155"/>
        <v>5</v>
      </c>
      <c r="Z159" s="236" t="e">
        <f t="shared" si="156"/>
        <v>#DIV/0!</v>
      </c>
      <c r="AA159" s="236">
        <f t="shared" si="157"/>
        <v>3</v>
      </c>
      <c r="AB159" s="236" t="e">
        <f t="shared" si="158"/>
        <v>#DIV/0!</v>
      </c>
      <c r="AC159" s="235">
        <f t="shared" si="159"/>
        <v>0</v>
      </c>
      <c r="AD159" s="235">
        <f t="shared" si="160"/>
        <v>0</v>
      </c>
      <c r="AE159" s="279">
        <f t="shared" si="161"/>
        <v>0</v>
      </c>
      <c r="AF159" s="232">
        <f t="shared" si="162"/>
        <v>0</v>
      </c>
      <c r="AG159" s="235">
        <f t="shared" si="163"/>
        <v>0</v>
      </c>
      <c r="AH159" s="269">
        <f t="shared" si="164"/>
        <v>0</v>
      </c>
      <c r="AI159" s="232">
        <f t="shared" si="165"/>
        <v>0</v>
      </c>
      <c r="AJ159" s="235">
        <f t="shared" si="166"/>
        <v>0</v>
      </c>
      <c r="AK159" s="269">
        <f t="shared" si="167"/>
        <v>0</v>
      </c>
      <c r="AL159" s="269">
        <f t="shared" si="133"/>
        <v>0</v>
      </c>
      <c r="AM159" s="281" t="e">
        <f>IF(B159&gt;=mpfo,pos*vvm*Dados!$E$122*(ntudv-SUM(U160:$U$301))-SUM($AM$13:AM158),0)</f>
        <v>#DIV/0!</v>
      </c>
      <c r="AN159" s="269" t="e">
        <f t="shared" si="168"/>
        <v>#DIV/0!</v>
      </c>
      <c r="AO159" s="232" t="e">
        <f t="shared" si="169"/>
        <v>#DIV/0!</v>
      </c>
      <c r="AP159" s="242" t="e">
        <f t="shared" si="170"/>
        <v>#DIV/0!</v>
      </c>
      <c r="AQ159" s="235" t="e">
        <f>IF(AP159+SUM($AQ$12:AQ158)&gt;=0,0,-AP159-SUM($AQ$12:AQ158))</f>
        <v>#DIV/0!</v>
      </c>
      <c r="AR159" s="235">
        <f>IF(SUM($N$13:N158)&gt;=pmo,IF(SUM(N158:$N$501)&gt;(1-pmo),B159,0),0)</f>
        <v>0</v>
      </c>
      <c r="AS159" s="235" t="e">
        <f>IF((SUM($U$13:$U158)/ntudv)&gt;=pmv,IF((SUM($U158:$U$501)/ntudv)&gt;(1-pmv),B159,0),0)</f>
        <v>#DIV/0!</v>
      </c>
      <c r="AT159" s="237" t="e">
        <f>IF(MAX(mmo,mmv)=mmo,IF(B159=AR159,(SUM(N$13:$N158)-pmo)/((1-VLOOKUP(MAX(mmo,mmv)-1,$B$13:$O$501,14))+(VLOOKUP(MAX(mmo,mmv)-1,$B$13:$O$501,14)-pmo)),N158/((1-VLOOKUP(MAX(mmo,mmv)-1,$B$13:$O$501,14)+(VLOOKUP(MAX(mmo,mmv)-1,$B$13:$O$501,14)-pmo)))),N158/(1-VLOOKUP(MAX(mmo,mmv)-2,$B$13:$O$501,14)))</f>
        <v>#DIV/0!</v>
      </c>
      <c r="AU159" s="101" t="e">
        <f t="shared" si="134"/>
        <v>#DIV/0!</v>
      </c>
      <c r="AV159" s="287" t="e">
        <f t="shared" si="135"/>
        <v>#DIV/0!</v>
      </c>
      <c r="AW159" s="235" t="e">
        <f t="shared" si="171"/>
        <v>#DIV/0!</v>
      </c>
      <c r="AX159" s="281">
        <f>IF(B159&gt;mpfo,0,IF(B159=mpfo,(vld-teo*(1+tcfo-incc)^(MAX(mmo,mmv)-mbfo))*-1,IF(SUM($N$13:N158)&gt;=pmo,IF(($V158/ntudv)&gt;=pmv,IF(B159=MAX(mmo,mmv),-teo*(1+tcfo-incc)^(B159-mbfo),0),0),0)))</f>
        <v>0</v>
      </c>
      <c r="AY159" s="292" t="e">
        <f t="shared" si="136"/>
        <v>#DIV/0!</v>
      </c>
      <c r="AZ159" s="235" t="e">
        <f t="shared" si="172"/>
        <v>#DIV/0!</v>
      </c>
      <c r="BA159" s="269" t="e">
        <f t="shared" si="173"/>
        <v>#DIV/0!</v>
      </c>
      <c r="BB159" s="292" t="e">
        <f t="shared" si="174"/>
        <v>#DIV/0!</v>
      </c>
      <c r="BC159" s="238" t="e">
        <f>IF(SUM($BC$13:BC158)&gt;0,0,IF(BB159&gt;0,B159,0))</f>
        <v>#DIV/0!</v>
      </c>
      <c r="BD159" s="292" t="e">
        <f>IF(BB159+SUM($BD$12:BD158)&gt;=0,0,-BB159-SUM($BD$12:BD158))</f>
        <v>#DIV/0!</v>
      </c>
      <c r="BE159" s="235" t="e">
        <f>BB159+SUM($BD$12:BD159)</f>
        <v>#DIV/0!</v>
      </c>
      <c r="BF159" s="292" t="e">
        <f>-MIN(BE159:$BE$501)-SUM(BF$12:$BF158)</f>
        <v>#DIV/0!</v>
      </c>
      <c r="BG159" s="235" t="e">
        <f t="shared" si="139"/>
        <v>#DIV/0!</v>
      </c>
    </row>
    <row r="160" spans="2:59">
      <c r="B160" s="246">
        <v>147</v>
      </c>
      <c r="C160" s="241">
        <f t="shared" si="138"/>
        <v>47154</v>
      </c>
      <c r="D160" s="229">
        <f t="shared" si="140"/>
        <v>2</v>
      </c>
      <c r="E160" s="230" t="str">
        <f t="shared" si="141"/>
        <v>-</v>
      </c>
      <c r="F160" s="231">
        <f t="shared" si="142"/>
        <v>0</v>
      </c>
      <c r="G160" s="231">
        <f t="shared" si="143"/>
        <v>0</v>
      </c>
      <c r="H160" s="231">
        <f t="shared" si="144"/>
        <v>0</v>
      </c>
      <c r="I160" s="268">
        <f t="shared" si="129"/>
        <v>0</v>
      </c>
      <c r="J160" s="269">
        <f t="shared" si="145"/>
        <v>0</v>
      </c>
      <c r="K160" s="269">
        <f t="shared" si="146"/>
        <v>0</v>
      </c>
      <c r="L160" s="269">
        <f t="shared" si="130"/>
        <v>0</v>
      </c>
      <c r="M160" s="269">
        <f t="shared" si="131"/>
        <v>0</v>
      </c>
      <c r="N160" s="233">
        <f>VLOOKUP(B160,Dados!$L$86:$P$90,5)</f>
        <v>0</v>
      </c>
      <c r="O160" s="270">
        <f t="shared" si="147"/>
        <v>0.99999999999999989</v>
      </c>
      <c r="P160" s="269">
        <f t="shared" si="148"/>
        <v>0</v>
      </c>
      <c r="Q160" s="269" t="e">
        <f t="shared" si="149"/>
        <v>#DIV/0!</v>
      </c>
      <c r="R160" s="269">
        <f t="shared" si="150"/>
        <v>0</v>
      </c>
      <c r="S160" s="269" t="e">
        <f t="shared" si="151"/>
        <v>#DIV/0!</v>
      </c>
      <c r="T160" s="269" t="e">
        <f t="shared" si="137"/>
        <v>#DIV/0!</v>
      </c>
      <c r="U160" s="234">
        <f t="shared" si="152"/>
        <v>0</v>
      </c>
      <c r="V160" s="232" t="e">
        <f t="shared" si="153"/>
        <v>#DIV/0!</v>
      </c>
      <c r="W160" s="269" t="e">
        <f t="shared" si="154"/>
        <v>#DIV/0!</v>
      </c>
      <c r="X160" s="235">
        <f t="shared" si="132"/>
        <v>0</v>
      </c>
      <c r="Y160" s="236">
        <f t="shared" si="155"/>
        <v>5</v>
      </c>
      <c r="Z160" s="236" t="e">
        <f t="shared" si="156"/>
        <v>#DIV/0!</v>
      </c>
      <c r="AA160" s="236">
        <f t="shared" si="157"/>
        <v>3</v>
      </c>
      <c r="AB160" s="236" t="e">
        <f t="shared" si="158"/>
        <v>#DIV/0!</v>
      </c>
      <c r="AC160" s="235">
        <f t="shared" si="159"/>
        <v>0</v>
      </c>
      <c r="AD160" s="235">
        <f t="shared" si="160"/>
        <v>0</v>
      </c>
      <c r="AE160" s="279">
        <f t="shared" si="161"/>
        <v>0</v>
      </c>
      <c r="AF160" s="232">
        <f t="shared" si="162"/>
        <v>0</v>
      </c>
      <c r="AG160" s="235">
        <f t="shared" si="163"/>
        <v>0</v>
      </c>
      <c r="AH160" s="269">
        <f t="shared" si="164"/>
        <v>0</v>
      </c>
      <c r="AI160" s="232">
        <f t="shared" si="165"/>
        <v>0</v>
      </c>
      <c r="AJ160" s="235">
        <f t="shared" si="166"/>
        <v>0</v>
      </c>
      <c r="AK160" s="269">
        <f t="shared" si="167"/>
        <v>0</v>
      </c>
      <c r="AL160" s="269">
        <f t="shared" si="133"/>
        <v>0</v>
      </c>
      <c r="AM160" s="281" t="e">
        <f>IF(B160&gt;=mpfo,pos*vvm*Dados!$E$122*(ntudv-SUM(U161:$U$301))-SUM($AM$13:AM159),0)</f>
        <v>#DIV/0!</v>
      </c>
      <c r="AN160" s="269" t="e">
        <f t="shared" si="168"/>
        <v>#DIV/0!</v>
      </c>
      <c r="AO160" s="232" t="e">
        <f t="shared" si="169"/>
        <v>#DIV/0!</v>
      </c>
      <c r="AP160" s="242" t="e">
        <f t="shared" si="170"/>
        <v>#DIV/0!</v>
      </c>
      <c r="AQ160" s="235" t="e">
        <f>IF(AP160+SUM($AQ$12:AQ159)&gt;=0,0,-AP160-SUM($AQ$12:AQ159))</f>
        <v>#DIV/0!</v>
      </c>
      <c r="AR160" s="235">
        <f>IF(SUM($N$13:N159)&gt;=pmo,IF(SUM(N159:$N$501)&gt;(1-pmo),B160,0),0)</f>
        <v>0</v>
      </c>
      <c r="AS160" s="235" t="e">
        <f>IF((SUM($U$13:$U159)/ntudv)&gt;=pmv,IF((SUM($U159:$U$501)/ntudv)&gt;(1-pmv),B160,0),0)</f>
        <v>#DIV/0!</v>
      </c>
      <c r="AT160" s="237" t="e">
        <f>IF(MAX(mmo,mmv)=mmo,IF(B160=AR160,(SUM(N$13:$N159)-pmo)/((1-VLOOKUP(MAX(mmo,mmv)-1,$B$13:$O$501,14))+(VLOOKUP(MAX(mmo,mmv)-1,$B$13:$O$501,14)-pmo)),N159/((1-VLOOKUP(MAX(mmo,mmv)-1,$B$13:$O$501,14)+(VLOOKUP(MAX(mmo,mmv)-1,$B$13:$O$501,14)-pmo)))),N159/(1-VLOOKUP(MAX(mmo,mmv)-2,$B$13:$O$501,14)))</f>
        <v>#DIV/0!</v>
      </c>
      <c r="AU160" s="101" t="e">
        <f t="shared" si="134"/>
        <v>#DIV/0!</v>
      </c>
      <c r="AV160" s="287" t="e">
        <f t="shared" si="135"/>
        <v>#DIV/0!</v>
      </c>
      <c r="AW160" s="235" t="e">
        <f t="shared" si="171"/>
        <v>#DIV/0!</v>
      </c>
      <c r="AX160" s="281">
        <f>IF(B160&gt;mpfo,0,IF(B160=mpfo,(vld-teo*(1+tcfo-incc)^(MAX(mmo,mmv)-mbfo))*-1,IF(SUM($N$13:N159)&gt;=pmo,IF(($V159/ntudv)&gt;=pmv,IF(B160=MAX(mmo,mmv),-teo*(1+tcfo-incc)^(B160-mbfo),0),0),0)))</f>
        <v>0</v>
      </c>
      <c r="AY160" s="292" t="e">
        <f t="shared" si="136"/>
        <v>#DIV/0!</v>
      </c>
      <c r="AZ160" s="235" t="e">
        <f t="shared" si="172"/>
        <v>#DIV/0!</v>
      </c>
      <c r="BA160" s="269" t="e">
        <f t="shared" si="173"/>
        <v>#DIV/0!</v>
      </c>
      <c r="BB160" s="292" t="e">
        <f t="shared" si="174"/>
        <v>#DIV/0!</v>
      </c>
      <c r="BC160" s="238" t="e">
        <f>IF(SUM($BC$13:BC159)&gt;0,0,IF(BB160&gt;0,B160,0))</f>
        <v>#DIV/0!</v>
      </c>
      <c r="BD160" s="292" t="e">
        <f>IF(BB160+SUM($BD$12:BD159)&gt;=0,0,-BB160-SUM($BD$12:BD159))</f>
        <v>#DIV/0!</v>
      </c>
      <c r="BE160" s="235" t="e">
        <f>BB160+SUM($BD$12:BD160)</f>
        <v>#DIV/0!</v>
      </c>
      <c r="BF160" s="292" t="e">
        <f>-MIN(BE160:$BE$501)-SUM(BF$12:$BF159)</f>
        <v>#DIV/0!</v>
      </c>
      <c r="BG160" s="235" t="e">
        <f t="shared" si="139"/>
        <v>#DIV/0!</v>
      </c>
    </row>
    <row r="161" spans="2:59">
      <c r="B161" s="120">
        <v>148</v>
      </c>
      <c r="C161" s="241">
        <f t="shared" si="138"/>
        <v>47182</v>
      </c>
      <c r="D161" s="229">
        <f t="shared" si="140"/>
        <v>3</v>
      </c>
      <c r="E161" s="230" t="str">
        <f t="shared" si="141"/>
        <v>-</v>
      </c>
      <c r="F161" s="231">
        <f t="shared" si="142"/>
        <v>0</v>
      </c>
      <c r="G161" s="231">
        <f t="shared" si="143"/>
        <v>0</v>
      </c>
      <c r="H161" s="231">
        <f t="shared" si="144"/>
        <v>0</v>
      </c>
      <c r="I161" s="268">
        <f t="shared" si="129"/>
        <v>0</v>
      </c>
      <c r="J161" s="269">
        <f t="shared" si="145"/>
        <v>0</v>
      </c>
      <c r="K161" s="269">
        <f t="shared" si="146"/>
        <v>0</v>
      </c>
      <c r="L161" s="269">
        <f t="shared" si="130"/>
        <v>0</v>
      </c>
      <c r="M161" s="269">
        <f t="shared" si="131"/>
        <v>0</v>
      </c>
      <c r="N161" s="233">
        <f>VLOOKUP(B161,Dados!$L$86:$P$90,5)</f>
        <v>0</v>
      </c>
      <c r="O161" s="270">
        <f t="shared" si="147"/>
        <v>0.99999999999999989</v>
      </c>
      <c r="P161" s="269">
        <f t="shared" si="148"/>
        <v>0</v>
      </c>
      <c r="Q161" s="269" t="e">
        <f t="shared" si="149"/>
        <v>#DIV/0!</v>
      </c>
      <c r="R161" s="269">
        <f t="shared" si="150"/>
        <v>0</v>
      </c>
      <c r="S161" s="269" t="e">
        <f t="shared" si="151"/>
        <v>#DIV/0!</v>
      </c>
      <c r="T161" s="269" t="e">
        <f t="shared" si="137"/>
        <v>#DIV/0!</v>
      </c>
      <c r="U161" s="234">
        <f t="shared" si="152"/>
        <v>0</v>
      </c>
      <c r="V161" s="232" t="e">
        <f t="shared" si="153"/>
        <v>#DIV/0!</v>
      </c>
      <c r="W161" s="269" t="e">
        <f t="shared" si="154"/>
        <v>#DIV/0!</v>
      </c>
      <c r="X161" s="235">
        <f t="shared" si="132"/>
        <v>0</v>
      </c>
      <c r="Y161" s="236">
        <f t="shared" si="155"/>
        <v>5</v>
      </c>
      <c r="Z161" s="236" t="e">
        <f t="shared" si="156"/>
        <v>#DIV/0!</v>
      </c>
      <c r="AA161" s="236">
        <f t="shared" si="157"/>
        <v>3</v>
      </c>
      <c r="AB161" s="236" t="e">
        <f t="shared" si="158"/>
        <v>#DIV/0!</v>
      </c>
      <c r="AC161" s="235">
        <f t="shared" si="159"/>
        <v>0</v>
      </c>
      <c r="AD161" s="235">
        <f t="shared" si="160"/>
        <v>0</v>
      </c>
      <c r="AE161" s="279">
        <f t="shared" si="161"/>
        <v>0</v>
      </c>
      <c r="AF161" s="232">
        <f t="shared" si="162"/>
        <v>0</v>
      </c>
      <c r="AG161" s="235">
        <f t="shared" si="163"/>
        <v>0</v>
      </c>
      <c r="AH161" s="269">
        <f t="shared" si="164"/>
        <v>0</v>
      </c>
      <c r="AI161" s="232">
        <f t="shared" si="165"/>
        <v>0</v>
      </c>
      <c r="AJ161" s="235">
        <f t="shared" si="166"/>
        <v>0</v>
      </c>
      <c r="AK161" s="269">
        <f t="shared" si="167"/>
        <v>0</v>
      </c>
      <c r="AL161" s="269">
        <f t="shared" si="133"/>
        <v>0</v>
      </c>
      <c r="AM161" s="281" t="e">
        <f>IF(B161&gt;=mpfo,pos*vvm*Dados!$E$122*(ntudv-SUM(U162:$U$301))-SUM($AM$13:AM160),0)</f>
        <v>#DIV/0!</v>
      </c>
      <c r="AN161" s="269" t="e">
        <f t="shared" si="168"/>
        <v>#DIV/0!</v>
      </c>
      <c r="AO161" s="232" t="e">
        <f t="shared" si="169"/>
        <v>#DIV/0!</v>
      </c>
      <c r="AP161" s="242" t="e">
        <f t="shared" si="170"/>
        <v>#DIV/0!</v>
      </c>
      <c r="AQ161" s="235" t="e">
        <f>IF(AP161+SUM($AQ$12:AQ160)&gt;=0,0,-AP161-SUM($AQ$12:AQ160))</f>
        <v>#DIV/0!</v>
      </c>
      <c r="AR161" s="235">
        <f>IF(SUM($N$13:N160)&gt;=pmo,IF(SUM(N160:$N$501)&gt;(1-pmo),B161,0),0)</f>
        <v>0</v>
      </c>
      <c r="AS161" s="235" t="e">
        <f>IF((SUM($U$13:$U160)/ntudv)&gt;=pmv,IF((SUM($U160:$U$501)/ntudv)&gt;(1-pmv),B161,0),0)</f>
        <v>#DIV/0!</v>
      </c>
      <c r="AT161" s="237" t="e">
        <f>IF(MAX(mmo,mmv)=mmo,IF(B161=AR161,(SUM(N$13:$N160)-pmo)/((1-VLOOKUP(MAX(mmo,mmv)-1,$B$13:$O$501,14))+(VLOOKUP(MAX(mmo,mmv)-1,$B$13:$O$501,14)-pmo)),N160/((1-VLOOKUP(MAX(mmo,mmv)-1,$B$13:$O$501,14)+(VLOOKUP(MAX(mmo,mmv)-1,$B$13:$O$501,14)-pmo)))),N160/(1-VLOOKUP(MAX(mmo,mmv)-2,$B$13:$O$501,14)))</f>
        <v>#DIV/0!</v>
      </c>
      <c r="AU161" s="101" t="e">
        <f t="shared" si="134"/>
        <v>#DIV/0!</v>
      </c>
      <c r="AV161" s="287" t="e">
        <f t="shared" si="135"/>
        <v>#DIV/0!</v>
      </c>
      <c r="AW161" s="235" t="e">
        <f t="shared" si="171"/>
        <v>#DIV/0!</v>
      </c>
      <c r="AX161" s="281">
        <f>IF(B161&gt;mpfo,0,IF(B161=mpfo,(vld-teo*(1+tcfo-incc)^(MAX(mmo,mmv)-mbfo))*-1,IF(SUM($N$13:N160)&gt;=pmo,IF(($V160/ntudv)&gt;=pmv,IF(B161=MAX(mmo,mmv),-teo*(1+tcfo-incc)^(B161-mbfo),0),0),0)))</f>
        <v>0</v>
      </c>
      <c r="AY161" s="292" t="e">
        <f t="shared" si="136"/>
        <v>#DIV/0!</v>
      </c>
      <c r="AZ161" s="235" t="e">
        <f t="shared" si="172"/>
        <v>#DIV/0!</v>
      </c>
      <c r="BA161" s="269" t="e">
        <f t="shared" si="173"/>
        <v>#DIV/0!</v>
      </c>
      <c r="BB161" s="292" t="e">
        <f t="shared" si="174"/>
        <v>#DIV/0!</v>
      </c>
      <c r="BC161" s="238" t="e">
        <f>IF(SUM($BC$13:BC160)&gt;0,0,IF(BB161&gt;0,B161,0))</f>
        <v>#DIV/0!</v>
      </c>
      <c r="BD161" s="292" t="e">
        <f>IF(BB161+SUM($BD$12:BD160)&gt;=0,0,-BB161-SUM($BD$12:BD160))</f>
        <v>#DIV/0!</v>
      </c>
      <c r="BE161" s="235" t="e">
        <f>BB161+SUM($BD$12:BD161)</f>
        <v>#DIV/0!</v>
      </c>
      <c r="BF161" s="292" t="e">
        <f>-MIN(BE161:$BE$501)-SUM(BF$12:$BF160)</f>
        <v>#DIV/0!</v>
      </c>
      <c r="BG161" s="235" t="e">
        <f t="shared" si="139"/>
        <v>#DIV/0!</v>
      </c>
    </row>
    <row r="162" spans="2:59">
      <c r="B162" s="246">
        <v>149</v>
      </c>
      <c r="C162" s="241">
        <f t="shared" si="138"/>
        <v>47213</v>
      </c>
      <c r="D162" s="229">
        <f t="shared" si="140"/>
        <v>4</v>
      </c>
      <c r="E162" s="230" t="str">
        <f t="shared" si="141"/>
        <v>-</v>
      </c>
      <c r="F162" s="231">
        <f t="shared" si="142"/>
        <v>0</v>
      </c>
      <c r="G162" s="231">
        <f t="shared" si="143"/>
        <v>0</v>
      </c>
      <c r="H162" s="231">
        <f t="shared" si="144"/>
        <v>0</v>
      </c>
      <c r="I162" s="268">
        <f t="shared" si="129"/>
        <v>0</v>
      </c>
      <c r="J162" s="269">
        <f t="shared" si="145"/>
        <v>0</v>
      </c>
      <c r="K162" s="269">
        <f t="shared" si="146"/>
        <v>0</v>
      </c>
      <c r="L162" s="269">
        <f t="shared" si="130"/>
        <v>0</v>
      </c>
      <c r="M162" s="269">
        <f t="shared" si="131"/>
        <v>0</v>
      </c>
      <c r="N162" s="233">
        <f>VLOOKUP(B162,Dados!$L$86:$P$90,5)</f>
        <v>0</v>
      </c>
      <c r="O162" s="270">
        <f t="shared" si="147"/>
        <v>0.99999999999999989</v>
      </c>
      <c r="P162" s="269">
        <f t="shared" si="148"/>
        <v>0</v>
      </c>
      <c r="Q162" s="269" t="e">
        <f t="shared" si="149"/>
        <v>#DIV/0!</v>
      </c>
      <c r="R162" s="269">
        <f t="shared" si="150"/>
        <v>0</v>
      </c>
      <c r="S162" s="269" t="e">
        <f t="shared" si="151"/>
        <v>#DIV/0!</v>
      </c>
      <c r="T162" s="269" t="e">
        <f t="shared" si="137"/>
        <v>#DIV/0!</v>
      </c>
      <c r="U162" s="234">
        <f t="shared" si="152"/>
        <v>0</v>
      </c>
      <c r="V162" s="232" t="e">
        <f t="shared" si="153"/>
        <v>#DIV/0!</v>
      </c>
      <c r="W162" s="269" t="e">
        <f t="shared" si="154"/>
        <v>#DIV/0!</v>
      </c>
      <c r="X162" s="235">
        <f t="shared" si="132"/>
        <v>0</v>
      </c>
      <c r="Y162" s="236">
        <f t="shared" si="155"/>
        <v>5</v>
      </c>
      <c r="Z162" s="236" t="e">
        <f t="shared" si="156"/>
        <v>#DIV/0!</v>
      </c>
      <c r="AA162" s="236">
        <f t="shared" si="157"/>
        <v>3</v>
      </c>
      <c r="AB162" s="236" t="e">
        <f t="shared" si="158"/>
        <v>#DIV/0!</v>
      </c>
      <c r="AC162" s="235">
        <f t="shared" si="159"/>
        <v>0</v>
      </c>
      <c r="AD162" s="235">
        <f t="shared" si="160"/>
        <v>0</v>
      </c>
      <c r="AE162" s="279">
        <f t="shared" si="161"/>
        <v>0</v>
      </c>
      <c r="AF162" s="232">
        <f t="shared" si="162"/>
        <v>0</v>
      </c>
      <c r="AG162" s="235">
        <f t="shared" si="163"/>
        <v>0</v>
      </c>
      <c r="AH162" s="269">
        <f t="shared" si="164"/>
        <v>0</v>
      </c>
      <c r="AI162" s="232">
        <f t="shared" si="165"/>
        <v>0</v>
      </c>
      <c r="AJ162" s="235">
        <f t="shared" si="166"/>
        <v>0</v>
      </c>
      <c r="AK162" s="269">
        <f t="shared" si="167"/>
        <v>0</v>
      </c>
      <c r="AL162" s="269">
        <f t="shared" si="133"/>
        <v>0</v>
      </c>
      <c r="AM162" s="281" t="e">
        <f>IF(B162&gt;=mpfo,pos*vvm*Dados!$E$122*(ntudv-SUM(U163:$U$301))-SUM($AM$13:AM161),0)</f>
        <v>#DIV/0!</v>
      </c>
      <c r="AN162" s="269" t="e">
        <f t="shared" si="168"/>
        <v>#DIV/0!</v>
      </c>
      <c r="AO162" s="232" t="e">
        <f t="shared" si="169"/>
        <v>#DIV/0!</v>
      </c>
      <c r="AP162" s="242" t="e">
        <f t="shared" si="170"/>
        <v>#DIV/0!</v>
      </c>
      <c r="AQ162" s="235" t="e">
        <f>IF(AP162+SUM($AQ$12:AQ161)&gt;=0,0,-AP162-SUM($AQ$12:AQ161))</f>
        <v>#DIV/0!</v>
      </c>
      <c r="AR162" s="235">
        <f>IF(SUM($N$13:N161)&gt;=pmo,IF(SUM(N161:$N$501)&gt;(1-pmo),B162,0),0)</f>
        <v>0</v>
      </c>
      <c r="AS162" s="235" t="e">
        <f>IF((SUM($U$13:$U161)/ntudv)&gt;=pmv,IF((SUM($U161:$U$501)/ntudv)&gt;(1-pmv),B162,0),0)</f>
        <v>#DIV/0!</v>
      </c>
      <c r="AT162" s="237" t="e">
        <f>IF(MAX(mmo,mmv)=mmo,IF(B162=AR162,(SUM(N$13:$N161)-pmo)/((1-VLOOKUP(MAX(mmo,mmv)-1,$B$13:$O$501,14))+(VLOOKUP(MAX(mmo,mmv)-1,$B$13:$O$501,14)-pmo)),N161/((1-VLOOKUP(MAX(mmo,mmv)-1,$B$13:$O$501,14)+(VLOOKUP(MAX(mmo,mmv)-1,$B$13:$O$501,14)-pmo)))),N161/(1-VLOOKUP(MAX(mmo,mmv)-2,$B$13:$O$501,14)))</f>
        <v>#DIV/0!</v>
      </c>
      <c r="AU162" s="101" t="e">
        <f t="shared" si="134"/>
        <v>#DIV/0!</v>
      </c>
      <c r="AV162" s="287" t="e">
        <f t="shared" si="135"/>
        <v>#DIV/0!</v>
      </c>
      <c r="AW162" s="235" t="e">
        <f t="shared" si="171"/>
        <v>#DIV/0!</v>
      </c>
      <c r="AX162" s="281">
        <f>IF(B162&gt;mpfo,0,IF(B162=mpfo,(vld-teo*(1+tcfo-incc)^(MAX(mmo,mmv)-mbfo))*-1,IF(SUM($N$13:N161)&gt;=pmo,IF(($V161/ntudv)&gt;=pmv,IF(B162=MAX(mmo,mmv),-teo*(1+tcfo-incc)^(B162-mbfo),0),0),0)))</f>
        <v>0</v>
      </c>
      <c r="AY162" s="292" t="e">
        <f t="shared" si="136"/>
        <v>#DIV/0!</v>
      </c>
      <c r="AZ162" s="235" t="e">
        <f t="shared" si="172"/>
        <v>#DIV/0!</v>
      </c>
      <c r="BA162" s="269" t="e">
        <f t="shared" si="173"/>
        <v>#DIV/0!</v>
      </c>
      <c r="BB162" s="292" t="e">
        <f t="shared" si="174"/>
        <v>#DIV/0!</v>
      </c>
      <c r="BC162" s="238" t="e">
        <f>IF(SUM($BC$13:BC161)&gt;0,0,IF(BB162&gt;0,B162,0))</f>
        <v>#DIV/0!</v>
      </c>
      <c r="BD162" s="292" t="e">
        <f>IF(BB162+SUM($BD$12:BD161)&gt;=0,0,-BB162-SUM($BD$12:BD161))</f>
        <v>#DIV/0!</v>
      </c>
      <c r="BE162" s="235" t="e">
        <f>BB162+SUM($BD$12:BD162)</f>
        <v>#DIV/0!</v>
      </c>
      <c r="BF162" s="292" t="e">
        <f>-MIN(BE162:$BE$501)-SUM(BF$12:$BF161)</f>
        <v>#DIV/0!</v>
      </c>
      <c r="BG162" s="235" t="e">
        <f t="shared" si="139"/>
        <v>#DIV/0!</v>
      </c>
    </row>
    <row r="163" spans="2:59">
      <c r="B163" s="120">
        <v>150</v>
      </c>
      <c r="C163" s="241">
        <f t="shared" si="138"/>
        <v>47243</v>
      </c>
      <c r="D163" s="229">
        <f t="shared" si="140"/>
        <v>5</v>
      </c>
      <c r="E163" s="230" t="str">
        <f t="shared" si="141"/>
        <v>-</v>
      </c>
      <c r="F163" s="231">
        <f t="shared" si="142"/>
        <v>0</v>
      </c>
      <c r="G163" s="231">
        <f t="shared" si="143"/>
        <v>0</v>
      </c>
      <c r="H163" s="231">
        <f t="shared" si="144"/>
        <v>0</v>
      </c>
      <c r="I163" s="268">
        <f t="shared" si="129"/>
        <v>0</v>
      </c>
      <c r="J163" s="269">
        <f t="shared" si="145"/>
        <v>0</v>
      </c>
      <c r="K163" s="269">
        <f t="shared" si="146"/>
        <v>0</v>
      </c>
      <c r="L163" s="269">
        <f t="shared" si="130"/>
        <v>0</v>
      </c>
      <c r="M163" s="269">
        <f t="shared" si="131"/>
        <v>0</v>
      </c>
      <c r="N163" s="233">
        <f>VLOOKUP(B163,Dados!$L$86:$P$90,5)</f>
        <v>0</v>
      </c>
      <c r="O163" s="270">
        <f t="shared" si="147"/>
        <v>0.99999999999999989</v>
      </c>
      <c r="P163" s="269">
        <f t="shared" si="148"/>
        <v>0</v>
      </c>
      <c r="Q163" s="269" t="e">
        <f t="shared" si="149"/>
        <v>#DIV/0!</v>
      </c>
      <c r="R163" s="269">
        <f t="shared" si="150"/>
        <v>0</v>
      </c>
      <c r="S163" s="269" t="e">
        <f t="shared" si="151"/>
        <v>#DIV/0!</v>
      </c>
      <c r="T163" s="269" t="e">
        <f t="shared" si="137"/>
        <v>#DIV/0!</v>
      </c>
      <c r="U163" s="234">
        <f t="shared" si="152"/>
        <v>0</v>
      </c>
      <c r="V163" s="232" t="e">
        <f t="shared" si="153"/>
        <v>#DIV/0!</v>
      </c>
      <c r="W163" s="269" t="e">
        <f t="shared" si="154"/>
        <v>#DIV/0!</v>
      </c>
      <c r="X163" s="235">
        <f t="shared" si="132"/>
        <v>0</v>
      </c>
      <c r="Y163" s="236">
        <f t="shared" si="155"/>
        <v>5</v>
      </c>
      <c r="Z163" s="236" t="e">
        <f t="shared" si="156"/>
        <v>#DIV/0!</v>
      </c>
      <c r="AA163" s="236">
        <f t="shared" si="157"/>
        <v>3</v>
      </c>
      <c r="AB163" s="236" t="e">
        <f t="shared" si="158"/>
        <v>#DIV/0!</v>
      </c>
      <c r="AC163" s="235">
        <f t="shared" si="159"/>
        <v>0</v>
      </c>
      <c r="AD163" s="235">
        <f t="shared" si="160"/>
        <v>0</v>
      </c>
      <c r="AE163" s="279">
        <f t="shared" si="161"/>
        <v>0</v>
      </c>
      <c r="AF163" s="232">
        <f t="shared" si="162"/>
        <v>0</v>
      </c>
      <c r="AG163" s="235">
        <f t="shared" si="163"/>
        <v>0</v>
      </c>
      <c r="AH163" s="269">
        <f t="shared" si="164"/>
        <v>0</v>
      </c>
      <c r="AI163" s="232">
        <f t="shared" si="165"/>
        <v>0</v>
      </c>
      <c r="AJ163" s="235">
        <f t="shared" si="166"/>
        <v>0</v>
      </c>
      <c r="AK163" s="269">
        <f t="shared" si="167"/>
        <v>0</v>
      </c>
      <c r="AL163" s="269">
        <f t="shared" si="133"/>
        <v>0</v>
      </c>
      <c r="AM163" s="281" t="e">
        <f>IF(B163&gt;=mpfo,pos*vvm*Dados!$E$122*(ntudv-SUM(U164:$U$301))-SUM($AM$13:AM162),0)</f>
        <v>#DIV/0!</v>
      </c>
      <c r="AN163" s="269" t="e">
        <f t="shared" si="168"/>
        <v>#DIV/0!</v>
      </c>
      <c r="AO163" s="232" t="e">
        <f t="shared" si="169"/>
        <v>#DIV/0!</v>
      </c>
      <c r="AP163" s="242" t="e">
        <f t="shared" si="170"/>
        <v>#DIV/0!</v>
      </c>
      <c r="AQ163" s="235" t="e">
        <f>IF(AP163+SUM($AQ$12:AQ162)&gt;=0,0,-AP163-SUM($AQ$12:AQ162))</f>
        <v>#DIV/0!</v>
      </c>
      <c r="AR163" s="235">
        <f>IF(SUM($N$13:N162)&gt;=pmo,IF(SUM(N162:$N$501)&gt;(1-pmo),B163,0),0)</f>
        <v>0</v>
      </c>
      <c r="AS163" s="235" t="e">
        <f>IF((SUM($U$13:$U162)/ntudv)&gt;=pmv,IF((SUM($U162:$U$501)/ntudv)&gt;(1-pmv),B163,0),0)</f>
        <v>#DIV/0!</v>
      </c>
      <c r="AT163" s="237" t="e">
        <f>IF(MAX(mmo,mmv)=mmo,IF(B163=AR163,(SUM(N$13:$N162)-pmo)/((1-VLOOKUP(MAX(mmo,mmv)-1,$B$13:$O$501,14))+(VLOOKUP(MAX(mmo,mmv)-1,$B$13:$O$501,14)-pmo)),N162/((1-VLOOKUP(MAX(mmo,mmv)-1,$B$13:$O$501,14)+(VLOOKUP(MAX(mmo,mmv)-1,$B$13:$O$501,14)-pmo)))),N162/(1-VLOOKUP(MAX(mmo,mmv)-2,$B$13:$O$501,14)))</f>
        <v>#DIV/0!</v>
      </c>
      <c r="AU163" s="101" t="e">
        <f t="shared" si="134"/>
        <v>#DIV/0!</v>
      </c>
      <c r="AV163" s="287" t="e">
        <f t="shared" si="135"/>
        <v>#DIV/0!</v>
      </c>
      <c r="AW163" s="235" t="e">
        <f t="shared" si="171"/>
        <v>#DIV/0!</v>
      </c>
      <c r="AX163" s="281">
        <f>IF(B163&gt;mpfo,0,IF(B163=mpfo,(vld-teo*(1+tcfo-incc)^(MAX(mmo,mmv)-mbfo))*-1,IF(SUM($N$13:N162)&gt;=pmo,IF(($V162/ntudv)&gt;=pmv,IF(B163=MAX(mmo,mmv),-teo*(1+tcfo-incc)^(B163-mbfo),0),0),0)))</f>
        <v>0</v>
      </c>
      <c r="AY163" s="292" t="e">
        <f t="shared" si="136"/>
        <v>#DIV/0!</v>
      </c>
      <c r="AZ163" s="235" t="e">
        <f t="shared" si="172"/>
        <v>#DIV/0!</v>
      </c>
      <c r="BA163" s="269" t="e">
        <f t="shared" si="173"/>
        <v>#DIV/0!</v>
      </c>
      <c r="BB163" s="292" t="e">
        <f t="shared" si="174"/>
        <v>#DIV/0!</v>
      </c>
      <c r="BC163" s="238" t="e">
        <f>IF(SUM($BC$13:BC162)&gt;0,0,IF(BB163&gt;0,B163,0))</f>
        <v>#DIV/0!</v>
      </c>
      <c r="BD163" s="292" t="e">
        <f>IF(BB163+SUM($BD$12:BD162)&gt;=0,0,-BB163-SUM($BD$12:BD162))</f>
        <v>#DIV/0!</v>
      </c>
      <c r="BE163" s="235" t="e">
        <f>BB163+SUM($BD$12:BD163)</f>
        <v>#DIV/0!</v>
      </c>
      <c r="BF163" s="292" t="e">
        <f>-MIN(BE163:$BE$501)-SUM(BF$12:$BF162)</f>
        <v>#DIV/0!</v>
      </c>
      <c r="BG163" s="235" t="e">
        <f t="shared" si="139"/>
        <v>#DIV/0!</v>
      </c>
    </row>
    <row r="164" spans="2:59">
      <c r="B164" s="246">
        <v>151</v>
      </c>
      <c r="C164" s="241">
        <f t="shared" si="138"/>
        <v>47274</v>
      </c>
      <c r="D164" s="229">
        <f t="shared" si="140"/>
        <v>6</v>
      </c>
      <c r="E164" s="230" t="str">
        <f t="shared" si="141"/>
        <v>-</v>
      </c>
      <c r="F164" s="231">
        <f t="shared" si="142"/>
        <v>0</v>
      </c>
      <c r="G164" s="231">
        <f t="shared" si="143"/>
        <v>0</v>
      </c>
      <c r="H164" s="231">
        <f t="shared" si="144"/>
        <v>0</v>
      </c>
      <c r="I164" s="268">
        <f t="shared" si="129"/>
        <v>0</v>
      </c>
      <c r="J164" s="269">
        <f t="shared" si="145"/>
        <v>0</v>
      </c>
      <c r="K164" s="269">
        <f t="shared" si="146"/>
        <v>0</v>
      </c>
      <c r="L164" s="269">
        <f t="shared" si="130"/>
        <v>0</v>
      </c>
      <c r="M164" s="269">
        <f t="shared" si="131"/>
        <v>0</v>
      </c>
      <c r="N164" s="233">
        <f>VLOOKUP(B164,Dados!$L$86:$P$90,5)</f>
        <v>0</v>
      </c>
      <c r="O164" s="270">
        <f t="shared" si="147"/>
        <v>0.99999999999999989</v>
      </c>
      <c r="P164" s="269">
        <f t="shared" si="148"/>
        <v>0</v>
      </c>
      <c r="Q164" s="269" t="e">
        <f t="shared" si="149"/>
        <v>#DIV/0!</v>
      </c>
      <c r="R164" s="269">
        <f t="shared" si="150"/>
        <v>0</v>
      </c>
      <c r="S164" s="269" t="e">
        <f t="shared" si="151"/>
        <v>#DIV/0!</v>
      </c>
      <c r="T164" s="269" t="e">
        <f t="shared" si="137"/>
        <v>#DIV/0!</v>
      </c>
      <c r="U164" s="234">
        <f t="shared" si="152"/>
        <v>0</v>
      </c>
      <c r="V164" s="232" t="e">
        <f t="shared" si="153"/>
        <v>#DIV/0!</v>
      </c>
      <c r="W164" s="269" t="e">
        <f t="shared" si="154"/>
        <v>#DIV/0!</v>
      </c>
      <c r="X164" s="235">
        <f t="shared" si="132"/>
        <v>0</v>
      </c>
      <c r="Y164" s="236">
        <f t="shared" si="155"/>
        <v>5</v>
      </c>
      <c r="Z164" s="236" t="e">
        <f t="shared" si="156"/>
        <v>#DIV/0!</v>
      </c>
      <c r="AA164" s="236">
        <f t="shared" si="157"/>
        <v>3</v>
      </c>
      <c r="AB164" s="236" t="e">
        <f t="shared" si="158"/>
        <v>#DIV/0!</v>
      </c>
      <c r="AC164" s="235">
        <f t="shared" si="159"/>
        <v>0</v>
      </c>
      <c r="AD164" s="235">
        <f t="shared" si="160"/>
        <v>0</v>
      </c>
      <c r="AE164" s="279">
        <f t="shared" si="161"/>
        <v>0</v>
      </c>
      <c r="AF164" s="232">
        <f t="shared" si="162"/>
        <v>1</v>
      </c>
      <c r="AG164" s="235">
        <f t="shared" si="163"/>
        <v>0</v>
      </c>
      <c r="AH164" s="269">
        <f t="shared" si="164"/>
        <v>0</v>
      </c>
      <c r="AI164" s="232">
        <f t="shared" si="165"/>
        <v>0</v>
      </c>
      <c r="AJ164" s="235">
        <f t="shared" si="166"/>
        <v>0</v>
      </c>
      <c r="AK164" s="269">
        <f t="shared" si="167"/>
        <v>0</v>
      </c>
      <c r="AL164" s="269">
        <f t="shared" si="133"/>
        <v>0</v>
      </c>
      <c r="AM164" s="281" t="e">
        <f>IF(B164&gt;=mpfo,pos*vvm*Dados!$E$122*(ntudv-SUM(U165:$U$301))-SUM($AM$13:AM163),0)</f>
        <v>#DIV/0!</v>
      </c>
      <c r="AN164" s="269" t="e">
        <f t="shared" si="168"/>
        <v>#DIV/0!</v>
      </c>
      <c r="AO164" s="232" t="e">
        <f t="shared" si="169"/>
        <v>#DIV/0!</v>
      </c>
      <c r="AP164" s="242" t="e">
        <f t="shared" si="170"/>
        <v>#DIV/0!</v>
      </c>
      <c r="AQ164" s="235" t="e">
        <f>IF(AP164+SUM($AQ$12:AQ163)&gt;=0,0,-AP164-SUM($AQ$12:AQ163))</f>
        <v>#DIV/0!</v>
      </c>
      <c r="AR164" s="235">
        <f>IF(SUM($N$13:N163)&gt;=pmo,IF(SUM(N163:$N$501)&gt;(1-pmo),B164,0),0)</f>
        <v>0</v>
      </c>
      <c r="AS164" s="235" t="e">
        <f>IF((SUM($U$13:$U163)/ntudv)&gt;=pmv,IF((SUM($U163:$U$501)/ntudv)&gt;(1-pmv),B164,0),0)</f>
        <v>#DIV/0!</v>
      </c>
      <c r="AT164" s="237" t="e">
        <f>IF(MAX(mmo,mmv)=mmo,IF(B164=AR164,(SUM(N$13:$N163)-pmo)/((1-VLOOKUP(MAX(mmo,mmv)-1,$B$13:$O$501,14))+(VLOOKUP(MAX(mmo,mmv)-1,$B$13:$O$501,14)-pmo)),N163/((1-VLOOKUP(MAX(mmo,mmv)-1,$B$13:$O$501,14)+(VLOOKUP(MAX(mmo,mmv)-1,$B$13:$O$501,14)-pmo)))),N163/(1-VLOOKUP(MAX(mmo,mmv)-2,$B$13:$O$501,14)))</f>
        <v>#DIV/0!</v>
      </c>
      <c r="AU164" s="101" t="e">
        <f t="shared" si="134"/>
        <v>#DIV/0!</v>
      </c>
      <c r="AV164" s="287" t="e">
        <f t="shared" si="135"/>
        <v>#DIV/0!</v>
      </c>
      <c r="AW164" s="235" t="e">
        <f t="shared" si="171"/>
        <v>#DIV/0!</v>
      </c>
      <c r="AX164" s="281">
        <f>IF(B164&gt;mpfo,0,IF(B164=mpfo,(vld-teo*(1+tcfo-incc)^(MAX(mmo,mmv)-mbfo))*-1,IF(SUM($N$13:N163)&gt;=pmo,IF(($V163/ntudv)&gt;=pmv,IF(B164=MAX(mmo,mmv),-teo*(1+tcfo-incc)^(B164-mbfo),0),0),0)))</f>
        <v>0</v>
      </c>
      <c r="AY164" s="292" t="e">
        <f t="shared" si="136"/>
        <v>#DIV/0!</v>
      </c>
      <c r="AZ164" s="235" t="e">
        <f t="shared" si="172"/>
        <v>#DIV/0!</v>
      </c>
      <c r="BA164" s="269" t="e">
        <f t="shared" si="173"/>
        <v>#DIV/0!</v>
      </c>
      <c r="BB164" s="292" t="e">
        <f t="shared" si="174"/>
        <v>#DIV/0!</v>
      </c>
      <c r="BC164" s="238" t="e">
        <f>IF(SUM($BC$13:BC163)&gt;0,0,IF(BB164&gt;0,B164,0))</f>
        <v>#DIV/0!</v>
      </c>
      <c r="BD164" s="292" t="e">
        <f>IF(BB164+SUM($BD$12:BD163)&gt;=0,0,-BB164-SUM($BD$12:BD163))</f>
        <v>#DIV/0!</v>
      </c>
      <c r="BE164" s="235" t="e">
        <f>BB164+SUM($BD$12:BD164)</f>
        <v>#DIV/0!</v>
      </c>
      <c r="BF164" s="292" t="e">
        <f>-MIN(BE164:$BE$501)-SUM(BF$12:$BF163)</f>
        <v>#DIV/0!</v>
      </c>
      <c r="BG164" s="235" t="e">
        <f t="shared" si="139"/>
        <v>#DIV/0!</v>
      </c>
    </row>
    <row r="165" spans="2:59">
      <c r="B165" s="120">
        <v>152</v>
      </c>
      <c r="C165" s="241">
        <f t="shared" si="138"/>
        <v>47304</v>
      </c>
      <c r="D165" s="229">
        <f t="shared" si="140"/>
        <v>7</v>
      </c>
      <c r="E165" s="230" t="str">
        <f t="shared" si="141"/>
        <v>-</v>
      </c>
      <c r="F165" s="231">
        <f t="shared" si="142"/>
        <v>0</v>
      </c>
      <c r="G165" s="231">
        <f t="shared" si="143"/>
        <v>0</v>
      </c>
      <c r="H165" s="231">
        <f t="shared" si="144"/>
        <v>0</v>
      </c>
      <c r="I165" s="268">
        <f t="shared" si="129"/>
        <v>0</v>
      </c>
      <c r="J165" s="269">
        <f t="shared" si="145"/>
        <v>0</v>
      </c>
      <c r="K165" s="269">
        <f t="shared" si="146"/>
        <v>0</v>
      </c>
      <c r="L165" s="269">
        <f t="shared" si="130"/>
        <v>0</v>
      </c>
      <c r="M165" s="269">
        <f t="shared" si="131"/>
        <v>0</v>
      </c>
      <c r="N165" s="233">
        <f>VLOOKUP(B165,Dados!$L$86:$P$90,5)</f>
        <v>0</v>
      </c>
      <c r="O165" s="270">
        <f t="shared" si="147"/>
        <v>0.99999999999999989</v>
      </c>
      <c r="P165" s="269">
        <f t="shared" si="148"/>
        <v>0</v>
      </c>
      <c r="Q165" s="269" t="e">
        <f t="shared" si="149"/>
        <v>#DIV/0!</v>
      </c>
      <c r="R165" s="269">
        <f t="shared" si="150"/>
        <v>0</v>
      </c>
      <c r="S165" s="269" t="e">
        <f t="shared" si="151"/>
        <v>#DIV/0!</v>
      </c>
      <c r="T165" s="269" t="e">
        <f t="shared" si="137"/>
        <v>#DIV/0!</v>
      </c>
      <c r="U165" s="234">
        <f t="shared" si="152"/>
        <v>0</v>
      </c>
      <c r="V165" s="232" t="e">
        <f t="shared" si="153"/>
        <v>#DIV/0!</v>
      </c>
      <c r="W165" s="269" t="e">
        <f t="shared" si="154"/>
        <v>#DIV/0!</v>
      </c>
      <c r="X165" s="235">
        <f t="shared" si="132"/>
        <v>0</v>
      </c>
      <c r="Y165" s="236">
        <f t="shared" si="155"/>
        <v>5</v>
      </c>
      <c r="Z165" s="236" t="e">
        <f t="shared" si="156"/>
        <v>#DIV/0!</v>
      </c>
      <c r="AA165" s="236">
        <f t="shared" si="157"/>
        <v>3</v>
      </c>
      <c r="AB165" s="236" t="e">
        <f t="shared" si="158"/>
        <v>#DIV/0!</v>
      </c>
      <c r="AC165" s="235">
        <f t="shared" si="159"/>
        <v>0</v>
      </c>
      <c r="AD165" s="235">
        <f t="shared" si="160"/>
        <v>0</v>
      </c>
      <c r="AE165" s="279">
        <f t="shared" si="161"/>
        <v>0</v>
      </c>
      <c r="AF165" s="232">
        <f t="shared" si="162"/>
        <v>0</v>
      </c>
      <c r="AG165" s="235">
        <f t="shared" si="163"/>
        <v>0</v>
      </c>
      <c r="AH165" s="269">
        <f t="shared" si="164"/>
        <v>0</v>
      </c>
      <c r="AI165" s="232">
        <f t="shared" si="165"/>
        <v>0</v>
      </c>
      <c r="AJ165" s="235">
        <f t="shared" si="166"/>
        <v>0</v>
      </c>
      <c r="AK165" s="269">
        <f t="shared" si="167"/>
        <v>0</v>
      </c>
      <c r="AL165" s="269">
        <f t="shared" si="133"/>
        <v>0</v>
      </c>
      <c r="AM165" s="281" t="e">
        <f>IF(B165&gt;=mpfo,pos*vvm*Dados!$E$122*(ntudv-SUM(U166:$U$301))-SUM($AM$13:AM164),0)</f>
        <v>#DIV/0!</v>
      </c>
      <c r="AN165" s="269" t="e">
        <f t="shared" si="168"/>
        <v>#DIV/0!</v>
      </c>
      <c r="AO165" s="232" t="e">
        <f t="shared" si="169"/>
        <v>#DIV/0!</v>
      </c>
      <c r="AP165" s="242" t="e">
        <f t="shared" si="170"/>
        <v>#DIV/0!</v>
      </c>
      <c r="AQ165" s="235" t="e">
        <f>IF(AP165+SUM($AQ$12:AQ164)&gt;=0,0,-AP165-SUM($AQ$12:AQ164))</f>
        <v>#DIV/0!</v>
      </c>
      <c r="AR165" s="235">
        <f>IF(SUM($N$13:N164)&gt;=pmo,IF(SUM(N164:$N$501)&gt;(1-pmo),B165,0),0)</f>
        <v>0</v>
      </c>
      <c r="AS165" s="235" t="e">
        <f>IF((SUM($U$13:$U164)/ntudv)&gt;=pmv,IF((SUM($U164:$U$501)/ntudv)&gt;(1-pmv),B165,0),0)</f>
        <v>#DIV/0!</v>
      </c>
      <c r="AT165" s="237" t="e">
        <f>IF(MAX(mmo,mmv)=mmo,IF(B165=AR165,(SUM(N$13:$N164)-pmo)/((1-VLOOKUP(MAX(mmo,mmv)-1,$B$13:$O$501,14))+(VLOOKUP(MAX(mmo,mmv)-1,$B$13:$O$501,14)-pmo)),N164/((1-VLOOKUP(MAX(mmo,mmv)-1,$B$13:$O$501,14)+(VLOOKUP(MAX(mmo,mmv)-1,$B$13:$O$501,14)-pmo)))),N164/(1-VLOOKUP(MAX(mmo,mmv)-2,$B$13:$O$501,14)))</f>
        <v>#DIV/0!</v>
      </c>
      <c r="AU165" s="101" t="e">
        <f t="shared" si="134"/>
        <v>#DIV/0!</v>
      </c>
      <c r="AV165" s="287" t="e">
        <f t="shared" si="135"/>
        <v>#DIV/0!</v>
      </c>
      <c r="AW165" s="235" t="e">
        <f t="shared" si="171"/>
        <v>#DIV/0!</v>
      </c>
      <c r="AX165" s="281">
        <f>IF(B165&gt;mpfo,0,IF(B165=mpfo,(vld-teo*(1+tcfo-incc)^(MAX(mmo,mmv)-mbfo))*-1,IF(SUM($N$13:N164)&gt;=pmo,IF(($V164/ntudv)&gt;=pmv,IF(B165=MAX(mmo,mmv),-teo*(1+tcfo-incc)^(B165-mbfo),0),0),0)))</f>
        <v>0</v>
      </c>
      <c r="AY165" s="292" t="e">
        <f t="shared" si="136"/>
        <v>#DIV/0!</v>
      </c>
      <c r="AZ165" s="235" t="e">
        <f t="shared" si="172"/>
        <v>#DIV/0!</v>
      </c>
      <c r="BA165" s="269" t="e">
        <f t="shared" si="173"/>
        <v>#DIV/0!</v>
      </c>
      <c r="BB165" s="292" t="e">
        <f t="shared" si="174"/>
        <v>#DIV/0!</v>
      </c>
      <c r="BC165" s="238" t="e">
        <f>IF(SUM($BC$13:BC164)&gt;0,0,IF(BB165&gt;0,B165,0))</f>
        <v>#DIV/0!</v>
      </c>
      <c r="BD165" s="292" t="e">
        <f>IF(BB165+SUM($BD$12:BD164)&gt;=0,0,-BB165-SUM($BD$12:BD164))</f>
        <v>#DIV/0!</v>
      </c>
      <c r="BE165" s="235" t="e">
        <f>BB165+SUM($BD$12:BD165)</f>
        <v>#DIV/0!</v>
      </c>
      <c r="BF165" s="292" t="e">
        <f>-MIN(BE165:$BE$501)-SUM(BF$12:$BF164)</f>
        <v>#DIV/0!</v>
      </c>
      <c r="BG165" s="235" t="e">
        <f t="shared" si="139"/>
        <v>#DIV/0!</v>
      </c>
    </row>
    <row r="166" spans="2:59">
      <c r="B166" s="246">
        <v>153</v>
      </c>
      <c r="C166" s="241">
        <f t="shared" si="138"/>
        <v>47335</v>
      </c>
      <c r="D166" s="229">
        <f t="shared" si="140"/>
        <v>8</v>
      </c>
      <c r="E166" s="230" t="str">
        <f t="shared" si="141"/>
        <v>-</v>
      </c>
      <c r="F166" s="231">
        <f t="shared" si="142"/>
        <v>0</v>
      </c>
      <c r="G166" s="231">
        <f t="shared" si="143"/>
        <v>0</v>
      </c>
      <c r="H166" s="231">
        <f t="shared" si="144"/>
        <v>0</v>
      </c>
      <c r="I166" s="268">
        <f t="shared" si="129"/>
        <v>0</v>
      </c>
      <c r="J166" s="269">
        <f t="shared" si="145"/>
        <v>0</v>
      </c>
      <c r="K166" s="269">
        <f t="shared" si="146"/>
        <v>0</v>
      </c>
      <c r="L166" s="269">
        <f t="shared" si="130"/>
        <v>0</v>
      </c>
      <c r="M166" s="269">
        <f t="shared" si="131"/>
        <v>0</v>
      </c>
      <c r="N166" s="233">
        <f>VLOOKUP(B166,Dados!$L$86:$P$90,5)</f>
        <v>0</v>
      </c>
      <c r="O166" s="270">
        <f t="shared" si="147"/>
        <v>0.99999999999999989</v>
      </c>
      <c r="P166" s="269">
        <f t="shared" si="148"/>
        <v>0</v>
      </c>
      <c r="Q166" s="269" t="e">
        <f t="shared" si="149"/>
        <v>#DIV/0!</v>
      </c>
      <c r="R166" s="269">
        <f t="shared" si="150"/>
        <v>0</v>
      </c>
      <c r="S166" s="269" t="e">
        <f t="shared" si="151"/>
        <v>#DIV/0!</v>
      </c>
      <c r="T166" s="269" t="e">
        <f t="shared" si="137"/>
        <v>#DIV/0!</v>
      </c>
      <c r="U166" s="234">
        <f t="shared" si="152"/>
        <v>0</v>
      </c>
      <c r="V166" s="232" t="e">
        <f t="shared" si="153"/>
        <v>#DIV/0!</v>
      </c>
      <c r="W166" s="269" t="e">
        <f t="shared" si="154"/>
        <v>#DIV/0!</v>
      </c>
      <c r="X166" s="235">
        <f t="shared" si="132"/>
        <v>0</v>
      </c>
      <c r="Y166" s="236">
        <f t="shared" si="155"/>
        <v>5</v>
      </c>
      <c r="Z166" s="236" t="e">
        <f t="shared" si="156"/>
        <v>#DIV/0!</v>
      </c>
      <c r="AA166" s="236">
        <f t="shared" si="157"/>
        <v>3</v>
      </c>
      <c r="AB166" s="236" t="e">
        <f t="shared" si="158"/>
        <v>#DIV/0!</v>
      </c>
      <c r="AC166" s="235">
        <f t="shared" si="159"/>
        <v>0</v>
      </c>
      <c r="AD166" s="235">
        <f t="shared" si="160"/>
        <v>0</v>
      </c>
      <c r="AE166" s="279">
        <f t="shared" si="161"/>
        <v>0</v>
      </c>
      <c r="AF166" s="232">
        <f t="shared" si="162"/>
        <v>0</v>
      </c>
      <c r="AG166" s="235">
        <f t="shared" si="163"/>
        <v>0</v>
      </c>
      <c r="AH166" s="269">
        <f t="shared" si="164"/>
        <v>0</v>
      </c>
      <c r="AI166" s="232">
        <f t="shared" si="165"/>
        <v>0</v>
      </c>
      <c r="AJ166" s="235">
        <f t="shared" si="166"/>
        <v>0</v>
      </c>
      <c r="AK166" s="269">
        <f t="shared" si="167"/>
        <v>0</v>
      </c>
      <c r="AL166" s="269">
        <f t="shared" si="133"/>
        <v>0</v>
      </c>
      <c r="AM166" s="281" t="e">
        <f>IF(B166&gt;=mpfo,pos*vvm*Dados!$E$122*(ntudv-SUM(U167:$U$301))-SUM($AM$13:AM165),0)</f>
        <v>#DIV/0!</v>
      </c>
      <c r="AN166" s="269" t="e">
        <f t="shared" si="168"/>
        <v>#DIV/0!</v>
      </c>
      <c r="AO166" s="232" t="e">
        <f t="shared" si="169"/>
        <v>#DIV/0!</v>
      </c>
      <c r="AP166" s="242" t="e">
        <f t="shared" si="170"/>
        <v>#DIV/0!</v>
      </c>
      <c r="AQ166" s="235" t="e">
        <f>IF(AP166+SUM($AQ$12:AQ165)&gt;=0,0,-AP166-SUM($AQ$12:AQ165))</f>
        <v>#DIV/0!</v>
      </c>
      <c r="AR166" s="235">
        <f>IF(SUM($N$13:N165)&gt;=pmo,IF(SUM(N165:$N$501)&gt;(1-pmo),B166,0),0)</f>
        <v>0</v>
      </c>
      <c r="AS166" s="235" t="e">
        <f>IF((SUM($U$13:$U165)/ntudv)&gt;=pmv,IF((SUM($U165:$U$501)/ntudv)&gt;(1-pmv),B166,0),0)</f>
        <v>#DIV/0!</v>
      </c>
      <c r="AT166" s="237" t="e">
        <f>IF(MAX(mmo,mmv)=mmo,IF(B166=AR166,(SUM(N$13:$N165)-pmo)/((1-VLOOKUP(MAX(mmo,mmv)-1,$B$13:$O$501,14))+(VLOOKUP(MAX(mmo,mmv)-1,$B$13:$O$501,14)-pmo)),N165/((1-VLOOKUP(MAX(mmo,mmv)-1,$B$13:$O$501,14)+(VLOOKUP(MAX(mmo,mmv)-1,$B$13:$O$501,14)-pmo)))),N165/(1-VLOOKUP(MAX(mmo,mmv)-2,$B$13:$O$501,14)))</f>
        <v>#DIV/0!</v>
      </c>
      <c r="AU166" s="101" t="e">
        <f t="shared" si="134"/>
        <v>#DIV/0!</v>
      </c>
      <c r="AV166" s="287" t="e">
        <f t="shared" si="135"/>
        <v>#DIV/0!</v>
      </c>
      <c r="AW166" s="235" t="e">
        <f t="shared" si="171"/>
        <v>#DIV/0!</v>
      </c>
      <c r="AX166" s="281">
        <f>IF(B166&gt;mpfo,0,IF(B166=mpfo,(vld-teo*(1+tcfo-incc)^(MAX(mmo,mmv)-mbfo))*-1,IF(SUM($N$13:N165)&gt;=pmo,IF(($V165/ntudv)&gt;=pmv,IF(B166=MAX(mmo,mmv),-teo*(1+tcfo-incc)^(B166-mbfo),0),0),0)))</f>
        <v>0</v>
      </c>
      <c r="AY166" s="292" t="e">
        <f t="shared" si="136"/>
        <v>#DIV/0!</v>
      </c>
      <c r="AZ166" s="235" t="e">
        <f t="shared" si="172"/>
        <v>#DIV/0!</v>
      </c>
      <c r="BA166" s="269" t="e">
        <f t="shared" si="173"/>
        <v>#DIV/0!</v>
      </c>
      <c r="BB166" s="292" t="e">
        <f t="shared" si="174"/>
        <v>#DIV/0!</v>
      </c>
      <c r="BC166" s="238" t="e">
        <f>IF(SUM($BC$13:BC165)&gt;0,0,IF(BB166&gt;0,B166,0))</f>
        <v>#DIV/0!</v>
      </c>
      <c r="BD166" s="292" t="e">
        <f>IF(BB166+SUM($BD$12:BD165)&gt;=0,0,-BB166-SUM($BD$12:BD165))</f>
        <v>#DIV/0!</v>
      </c>
      <c r="BE166" s="235" t="e">
        <f>BB166+SUM($BD$12:BD166)</f>
        <v>#DIV/0!</v>
      </c>
      <c r="BF166" s="292" t="e">
        <f>-MIN(BE166:$BE$501)-SUM(BF$12:$BF165)</f>
        <v>#DIV/0!</v>
      </c>
      <c r="BG166" s="235" t="e">
        <f t="shared" si="139"/>
        <v>#DIV/0!</v>
      </c>
    </row>
    <row r="167" spans="2:59">
      <c r="B167" s="120">
        <v>154</v>
      </c>
      <c r="C167" s="241">
        <f t="shared" si="138"/>
        <v>47366</v>
      </c>
      <c r="D167" s="229">
        <f t="shared" si="140"/>
        <v>9</v>
      </c>
      <c r="E167" s="230" t="str">
        <f t="shared" si="141"/>
        <v>-</v>
      </c>
      <c r="F167" s="231">
        <f t="shared" si="142"/>
        <v>0</v>
      </c>
      <c r="G167" s="231">
        <f t="shared" si="143"/>
        <v>0</v>
      </c>
      <c r="H167" s="231">
        <f t="shared" si="144"/>
        <v>0</v>
      </c>
      <c r="I167" s="268">
        <f t="shared" si="129"/>
        <v>0</v>
      </c>
      <c r="J167" s="269">
        <f t="shared" si="145"/>
        <v>0</v>
      </c>
      <c r="K167" s="269">
        <f t="shared" si="146"/>
        <v>0</v>
      </c>
      <c r="L167" s="269">
        <f t="shared" si="130"/>
        <v>0</v>
      </c>
      <c r="M167" s="269">
        <f t="shared" si="131"/>
        <v>0</v>
      </c>
      <c r="N167" s="233">
        <f>VLOOKUP(B167,Dados!$L$86:$P$90,5)</f>
        <v>0</v>
      </c>
      <c r="O167" s="270">
        <f t="shared" si="147"/>
        <v>0.99999999999999989</v>
      </c>
      <c r="P167" s="269">
        <f t="shared" si="148"/>
        <v>0</v>
      </c>
      <c r="Q167" s="269" t="e">
        <f t="shared" si="149"/>
        <v>#DIV/0!</v>
      </c>
      <c r="R167" s="269">
        <f t="shared" si="150"/>
        <v>0</v>
      </c>
      <c r="S167" s="269" t="e">
        <f t="shared" si="151"/>
        <v>#DIV/0!</v>
      </c>
      <c r="T167" s="269" t="e">
        <f t="shared" si="137"/>
        <v>#DIV/0!</v>
      </c>
      <c r="U167" s="234">
        <f t="shared" si="152"/>
        <v>0</v>
      </c>
      <c r="V167" s="232" t="e">
        <f t="shared" si="153"/>
        <v>#DIV/0!</v>
      </c>
      <c r="W167" s="269" t="e">
        <f t="shared" si="154"/>
        <v>#DIV/0!</v>
      </c>
      <c r="X167" s="235">
        <f t="shared" si="132"/>
        <v>0</v>
      </c>
      <c r="Y167" s="236">
        <f t="shared" si="155"/>
        <v>5</v>
      </c>
      <c r="Z167" s="236" t="e">
        <f t="shared" si="156"/>
        <v>#DIV/0!</v>
      </c>
      <c r="AA167" s="236">
        <f t="shared" si="157"/>
        <v>3</v>
      </c>
      <c r="AB167" s="236" t="e">
        <f t="shared" si="158"/>
        <v>#DIV/0!</v>
      </c>
      <c r="AC167" s="235">
        <f t="shared" si="159"/>
        <v>0</v>
      </c>
      <c r="AD167" s="235">
        <f t="shared" si="160"/>
        <v>0</v>
      </c>
      <c r="AE167" s="279">
        <f t="shared" si="161"/>
        <v>0</v>
      </c>
      <c r="AF167" s="232">
        <f t="shared" si="162"/>
        <v>0</v>
      </c>
      <c r="AG167" s="235">
        <f t="shared" si="163"/>
        <v>0</v>
      </c>
      <c r="AH167" s="269">
        <f t="shared" si="164"/>
        <v>0</v>
      </c>
      <c r="AI167" s="232">
        <f t="shared" si="165"/>
        <v>0</v>
      </c>
      <c r="AJ167" s="235">
        <f t="shared" si="166"/>
        <v>0</v>
      </c>
      <c r="AK167" s="269">
        <f t="shared" si="167"/>
        <v>0</v>
      </c>
      <c r="AL167" s="269">
        <f t="shared" si="133"/>
        <v>0</v>
      </c>
      <c r="AM167" s="281" t="e">
        <f>IF(B167&gt;=mpfo,pos*vvm*Dados!$E$122*(ntudv-SUM(U168:$U$301))-SUM($AM$13:AM166),0)</f>
        <v>#DIV/0!</v>
      </c>
      <c r="AN167" s="269" t="e">
        <f t="shared" si="168"/>
        <v>#DIV/0!</v>
      </c>
      <c r="AO167" s="232" t="e">
        <f t="shared" si="169"/>
        <v>#DIV/0!</v>
      </c>
      <c r="AP167" s="242" t="e">
        <f t="shared" si="170"/>
        <v>#DIV/0!</v>
      </c>
      <c r="AQ167" s="235" t="e">
        <f>IF(AP167+SUM($AQ$12:AQ166)&gt;=0,0,-AP167-SUM($AQ$12:AQ166))</f>
        <v>#DIV/0!</v>
      </c>
      <c r="AR167" s="235">
        <f>IF(SUM($N$13:N166)&gt;=pmo,IF(SUM(N166:$N$501)&gt;(1-pmo),B167,0),0)</f>
        <v>0</v>
      </c>
      <c r="AS167" s="235" t="e">
        <f>IF((SUM($U$13:$U166)/ntudv)&gt;=pmv,IF((SUM($U166:$U$501)/ntudv)&gt;(1-pmv),B167,0),0)</f>
        <v>#DIV/0!</v>
      </c>
      <c r="AT167" s="237" t="e">
        <f>IF(MAX(mmo,mmv)=mmo,IF(B167=AR167,(SUM(N$13:$N166)-pmo)/((1-VLOOKUP(MAX(mmo,mmv)-1,$B$13:$O$501,14))+(VLOOKUP(MAX(mmo,mmv)-1,$B$13:$O$501,14)-pmo)),N166/((1-VLOOKUP(MAX(mmo,mmv)-1,$B$13:$O$501,14)+(VLOOKUP(MAX(mmo,mmv)-1,$B$13:$O$501,14)-pmo)))),N166/(1-VLOOKUP(MAX(mmo,mmv)-2,$B$13:$O$501,14)))</f>
        <v>#DIV/0!</v>
      </c>
      <c r="AU167" s="101" t="e">
        <f t="shared" si="134"/>
        <v>#DIV/0!</v>
      </c>
      <c r="AV167" s="287" t="e">
        <f t="shared" si="135"/>
        <v>#DIV/0!</v>
      </c>
      <c r="AW167" s="235" t="e">
        <f t="shared" si="171"/>
        <v>#DIV/0!</v>
      </c>
      <c r="AX167" s="281">
        <f>IF(B167&gt;mpfo,0,IF(B167=mpfo,(vld-teo*(1+tcfo-incc)^(MAX(mmo,mmv)-mbfo))*-1,IF(SUM($N$13:N166)&gt;=pmo,IF(($V166/ntudv)&gt;=pmv,IF(B167=MAX(mmo,mmv),-teo*(1+tcfo-incc)^(B167-mbfo),0),0),0)))</f>
        <v>0</v>
      </c>
      <c r="AY167" s="292" t="e">
        <f t="shared" si="136"/>
        <v>#DIV/0!</v>
      </c>
      <c r="AZ167" s="235" t="e">
        <f t="shared" si="172"/>
        <v>#DIV/0!</v>
      </c>
      <c r="BA167" s="269" t="e">
        <f t="shared" si="173"/>
        <v>#DIV/0!</v>
      </c>
      <c r="BB167" s="292" t="e">
        <f t="shared" si="174"/>
        <v>#DIV/0!</v>
      </c>
      <c r="BC167" s="238" t="e">
        <f>IF(SUM($BC$13:BC166)&gt;0,0,IF(BB167&gt;0,B167,0))</f>
        <v>#DIV/0!</v>
      </c>
      <c r="BD167" s="292" t="e">
        <f>IF(BB167+SUM($BD$12:BD166)&gt;=0,0,-BB167-SUM($BD$12:BD166))</f>
        <v>#DIV/0!</v>
      </c>
      <c r="BE167" s="235" t="e">
        <f>BB167+SUM($BD$12:BD167)</f>
        <v>#DIV/0!</v>
      </c>
      <c r="BF167" s="292" t="e">
        <f>-MIN(BE167:$BE$501)-SUM(BF$12:$BF166)</f>
        <v>#DIV/0!</v>
      </c>
      <c r="BG167" s="235" t="e">
        <f t="shared" si="139"/>
        <v>#DIV/0!</v>
      </c>
    </row>
    <row r="168" spans="2:59">
      <c r="B168" s="246">
        <v>155</v>
      </c>
      <c r="C168" s="241">
        <f t="shared" si="138"/>
        <v>47396</v>
      </c>
      <c r="D168" s="229">
        <f t="shared" si="140"/>
        <v>10</v>
      </c>
      <c r="E168" s="230" t="str">
        <f t="shared" si="141"/>
        <v>-</v>
      </c>
      <c r="F168" s="231">
        <f t="shared" si="142"/>
        <v>0</v>
      </c>
      <c r="G168" s="231">
        <f t="shared" si="143"/>
        <v>0</v>
      </c>
      <c r="H168" s="231">
        <f t="shared" si="144"/>
        <v>0</v>
      </c>
      <c r="I168" s="268">
        <f t="shared" si="129"/>
        <v>0</v>
      </c>
      <c r="J168" s="269">
        <f t="shared" si="145"/>
        <v>0</v>
      </c>
      <c r="K168" s="269">
        <f t="shared" si="146"/>
        <v>0</v>
      </c>
      <c r="L168" s="269">
        <f t="shared" si="130"/>
        <v>0</v>
      </c>
      <c r="M168" s="269">
        <f t="shared" si="131"/>
        <v>0</v>
      </c>
      <c r="N168" s="233">
        <f>VLOOKUP(B168,Dados!$L$86:$P$90,5)</f>
        <v>0</v>
      </c>
      <c r="O168" s="270">
        <f t="shared" si="147"/>
        <v>0.99999999999999989</v>
      </c>
      <c r="P168" s="269">
        <f t="shared" si="148"/>
        <v>0</v>
      </c>
      <c r="Q168" s="269" t="e">
        <f t="shared" si="149"/>
        <v>#DIV/0!</v>
      </c>
      <c r="R168" s="269">
        <f t="shared" si="150"/>
        <v>0</v>
      </c>
      <c r="S168" s="269" t="e">
        <f t="shared" si="151"/>
        <v>#DIV/0!</v>
      </c>
      <c r="T168" s="269" t="e">
        <f t="shared" si="137"/>
        <v>#DIV/0!</v>
      </c>
      <c r="U168" s="234">
        <f t="shared" si="152"/>
        <v>0</v>
      </c>
      <c r="V168" s="232" t="e">
        <f t="shared" si="153"/>
        <v>#DIV/0!</v>
      </c>
      <c r="W168" s="269" t="e">
        <f t="shared" si="154"/>
        <v>#DIV/0!</v>
      </c>
      <c r="X168" s="235">
        <f t="shared" si="132"/>
        <v>0</v>
      </c>
      <c r="Y168" s="236">
        <f t="shared" si="155"/>
        <v>5</v>
      </c>
      <c r="Z168" s="236" t="e">
        <f t="shared" si="156"/>
        <v>#DIV/0!</v>
      </c>
      <c r="AA168" s="236">
        <f t="shared" si="157"/>
        <v>3</v>
      </c>
      <c r="AB168" s="236" t="e">
        <f t="shared" si="158"/>
        <v>#DIV/0!</v>
      </c>
      <c r="AC168" s="235">
        <f t="shared" si="159"/>
        <v>0</v>
      </c>
      <c r="AD168" s="235">
        <f t="shared" si="160"/>
        <v>0</v>
      </c>
      <c r="AE168" s="279">
        <f t="shared" si="161"/>
        <v>0</v>
      </c>
      <c r="AF168" s="232">
        <f t="shared" si="162"/>
        <v>0</v>
      </c>
      <c r="AG168" s="235">
        <f t="shared" si="163"/>
        <v>0</v>
      </c>
      <c r="AH168" s="269">
        <f t="shared" si="164"/>
        <v>0</v>
      </c>
      <c r="AI168" s="232">
        <f t="shared" si="165"/>
        <v>0</v>
      </c>
      <c r="AJ168" s="235">
        <f t="shared" si="166"/>
        <v>0</v>
      </c>
      <c r="AK168" s="269">
        <f t="shared" si="167"/>
        <v>0</v>
      </c>
      <c r="AL168" s="269">
        <f t="shared" si="133"/>
        <v>0</v>
      </c>
      <c r="AM168" s="281" t="e">
        <f>IF(B168&gt;=mpfo,pos*vvm*Dados!$E$122*(ntudv-SUM(U169:$U$301))-SUM($AM$13:AM167),0)</f>
        <v>#DIV/0!</v>
      </c>
      <c r="AN168" s="269" t="e">
        <f t="shared" si="168"/>
        <v>#DIV/0!</v>
      </c>
      <c r="AO168" s="232" t="e">
        <f t="shared" si="169"/>
        <v>#DIV/0!</v>
      </c>
      <c r="AP168" s="242" t="e">
        <f t="shared" si="170"/>
        <v>#DIV/0!</v>
      </c>
      <c r="AQ168" s="235" t="e">
        <f>IF(AP168+SUM($AQ$12:AQ167)&gt;=0,0,-AP168-SUM($AQ$12:AQ167))</f>
        <v>#DIV/0!</v>
      </c>
      <c r="AR168" s="235">
        <f>IF(SUM($N$13:N167)&gt;=pmo,IF(SUM(N167:$N$501)&gt;(1-pmo),B168,0),0)</f>
        <v>0</v>
      </c>
      <c r="AS168" s="235" t="e">
        <f>IF((SUM($U$13:$U167)/ntudv)&gt;=pmv,IF((SUM($U167:$U$501)/ntudv)&gt;(1-pmv),B168,0),0)</f>
        <v>#DIV/0!</v>
      </c>
      <c r="AT168" s="237" t="e">
        <f>IF(MAX(mmo,mmv)=mmo,IF(B168=AR168,(SUM(N$13:$N167)-pmo)/((1-VLOOKUP(MAX(mmo,mmv)-1,$B$13:$O$501,14))+(VLOOKUP(MAX(mmo,mmv)-1,$B$13:$O$501,14)-pmo)),N167/((1-VLOOKUP(MAX(mmo,mmv)-1,$B$13:$O$501,14)+(VLOOKUP(MAX(mmo,mmv)-1,$B$13:$O$501,14)-pmo)))),N167/(1-VLOOKUP(MAX(mmo,mmv)-2,$B$13:$O$501,14)))</f>
        <v>#DIV/0!</v>
      </c>
      <c r="AU168" s="101" t="e">
        <f t="shared" si="134"/>
        <v>#DIV/0!</v>
      </c>
      <c r="AV168" s="287" t="e">
        <f t="shared" si="135"/>
        <v>#DIV/0!</v>
      </c>
      <c r="AW168" s="235" t="e">
        <f t="shared" si="171"/>
        <v>#DIV/0!</v>
      </c>
      <c r="AX168" s="281">
        <f>IF(B168&gt;mpfo,0,IF(B168=mpfo,(vld-teo*(1+tcfo-incc)^(MAX(mmo,mmv)-mbfo))*-1,IF(SUM($N$13:N167)&gt;=pmo,IF(($V167/ntudv)&gt;=pmv,IF(B168=MAX(mmo,mmv),-teo*(1+tcfo-incc)^(B168-mbfo),0),0),0)))</f>
        <v>0</v>
      </c>
      <c r="AY168" s="292" t="e">
        <f t="shared" si="136"/>
        <v>#DIV/0!</v>
      </c>
      <c r="AZ168" s="235" t="e">
        <f t="shared" si="172"/>
        <v>#DIV/0!</v>
      </c>
      <c r="BA168" s="269" t="e">
        <f t="shared" si="173"/>
        <v>#DIV/0!</v>
      </c>
      <c r="BB168" s="292" t="e">
        <f t="shared" si="174"/>
        <v>#DIV/0!</v>
      </c>
      <c r="BC168" s="238" t="e">
        <f>IF(SUM($BC$13:BC167)&gt;0,0,IF(BB168&gt;0,B168,0))</f>
        <v>#DIV/0!</v>
      </c>
      <c r="BD168" s="292" t="e">
        <f>IF(BB168+SUM($BD$12:BD167)&gt;=0,0,-BB168-SUM($BD$12:BD167))</f>
        <v>#DIV/0!</v>
      </c>
      <c r="BE168" s="235" t="e">
        <f>BB168+SUM($BD$12:BD168)</f>
        <v>#DIV/0!</v>
      </c>
      <c r="BF168" s="292" t="e">
        <f>-MIN(BE168:$BE$501)-SUM(BF$12:$BF167)</f>
        <v>#DIV/0!</v>
      </c>
      <c r="BG168" s="235" t="e">
        <f t="shared" si="139"/>
        <v>#DIV/0!</v>
      </c>
    </row>
    <row r="169" spans="2:59">
      <c r="B169" s="120">
        <v>156</v>
      </c>
      <c r="C169" s="241">
        <f t="shared" si="138"/>
        <v>47427</v>
      </c>
      <c r="D169" s="229">
        <f t="shared" si="140"/>
        <v>11</v>
      </c>
      <c r="E169" s="230" t="str">
        <f t="shared" si="141"/>
        <v>-</v>
      </c>
      <c r="F169" s="231">
        <f t="shared" si="142"/>
        <v>0</v>
      </c>
      <c r="G169" s="231">
        <f t="shared" si="143"/>
        <v>0</v>
      </c>
      <c r="H169" s="231">
        <f t="shared" si="144"/>
        <v>0</v>
      </c>
      <c r="I169" s="268">
        <f t="shared" si="129"/>
        <v>0</v>
      </c>
      <c r="J169" s="269">
        <f t="shared" si="145"/>
        <v>0</v>
      </c>
      <c r="K169" s="269">
        <f t="shared" si="146"/>
        <v>0</v>
      </c>
      <c r="L169" s="269">
        <f t="shared" si="130"/>
        <v>0</v>
      </c>
      <c r="M169" s="269">
        <f t="shared" si="131"/>
        <v>0</v>
      </c>
      <c r="N169" s="233">
        <f>VLOOKUP(B169,Dados!$L$86:$P$90,5)</f>
        <v>0</v>
      </c>
      <c r="O169" s="270">
        <f t="shared" si="147"/>
        <v>0.99999999999999989</v>
      </c>
      <c r="P169" s="269">
        <f t="shared" si="148"/>
        <v>0</v>
      </c>
      <c r="Q169" s="269" t="e">
        <f t="shared" si="149"/>
        <v>#DIV/0!</v>
      </c>
      <c r="R169" s="269">
        <f t="shared" si="150"/>
        <v>0</v>
      </c>
      <c r="S169" s="269" t="e">
        <f t="shared" si="151"/>
        <v>#DIV/0!</v>
      </c>
      <c r="T169" s="269" t="e">
        <f t="shared" si="137"/>
        <v>#DIV/0!</v>
      </c>
      <c r="U169" s="234">
        <f t="shared" si="152"/>
        <v>0</v>
      </c>
      <c r="V169" s="232" t="e">
        <f t="shared" si="153"/>
        <v>#DIV/0!</v>
      </c>
      <c r="W169" s="269" t="e">
        <f t="shared" si="154"/>
        <v>#DIV/0!</v>
      </c>
      <c r="X169" s="235">
        <f t="shared" si="132"/>
        <v>0</v>
      </c>
      <c r="Y169" s="236">
        <f t="shared" si="155"/>
        <v>5</v>
      </c>
      <c r="Z169" s="236" t="e">
        <f t="shared" si="156"/>
        <v>#DIV/0!</v>
      </c>
      <c r="AA169" s="236">
        <f t="shared" si="157"/>
        <v>3</v>
      </c>
      <c r="AB169" s="236" t="e">
        <f t="shared" si="158"/>
        <v>#DIV/0!</v>
      </c>
      <c r="AC169" s="235">
        <f t="shared" si="159"/>
        <v>0</v>
      </c>
      <c r="AD169" s="235">
        <f t="shared" si="160"/>
        <v>0</v>
      </c>
      <c r="AE169" s="279">
        <f t="shared" si="161"/>
        <v>0</v>
      </c>
      <c r="AF169" s="232">
        <f t="shared" si="162"/>
        <v>0</v>
      </c>
      <c r="AG169" s="235">
        <f t="shared" si="163"/>
        <v>0</v>
      </c>
      <c r="AH169" s="269">
        <f t="shared" si="164"/>
        <v>0</v>
      </c>
      <c r="AI169" s="232">
        <f t="shared" si="165"/>
        <v>0</v>
      </c>
      <c r="AJ169" s="235">
        <f t="shared" si="166"/>
        <v>0</v>
      </c>
      <c r="AK169" s="269">
        <f t="shared" si="167"/>
        <v>0</v>
      </c>
      <c r="AL169" s="269">
        <f t="shared" si="133"/>
        <v>0</v>
      </c>
      <c r="AM169" s="281" t="e">
        <f>IF(B169&gt;=mpfo,pos*vvm*Dados!$E$122*(ntudv-SUM(U170:$U$301))-SUM($AM$13:AM168),0)</f>
        <v>#DIV/0!</v>
      </c>
      <c r="AN169" s="269" t="e">
        <f t="shared" si="168"/>
        <v>#DIV/0!</v>
      </c>
      <c r="AO169" s="232" t="e">
        <f t="shared" si="169"/>
        <v>#DIV/0!</v>
      </c>
      <c r="AP169" s="242" t="e">
        <f t="shared" si="170"/>
        <v>#DIV/0!</v>
      </c>
      <c r="AQ169" s="235" t="e">
        <f>IF(AP169+SUM($AQ$12:AQ168)&gt;=0,0,-AP169-SUM($AQ$12:AQ168))</f>
        <v>#DIV/0!</v>
      </c>
      <c r="AR169" s="235">
        <f>IF(SUM($N$13:N168)&gt;=pmo,IF(SUM(N168:$N$501)&gt;(1-pmo),B169,0),0)</f>
        <v>0</v>
      </c>
      <c r="AS169" s="235" t="e">
        <f>IF((SUM($U$13:$U168)/ntudv)&gt;=pmv,IF((SUM($U168:$U$501)/ntudv)&gt;(1-pmv),B169,0),0)</f>
        <v>#DIV/0!</v>
      </c>
      <c r="AT169" s="237" t="e">
        <f>IF(MAX(mmo,mmv)=mmo,IF(B169=AR169,(SUM(N$13:$N168)-pmo)/((1-VLOOKUP(MAX(mmo,mmv)-1,$B$13:$O$501,14))+(VLOOKUP(MAX(mmo,mmv)-1,$B$13:$O$501,14)-pmo)),N168/((1-VLOOKUP(MAX(mmo,mmv)-1,$B$13:$O$501,14)+(VLOOKUP(MAX(mmo,mmv)-1,$B$13:$O$501,14)-pmo)))),N168/(1-VLOOKUP(MAX(mmo,mmv)-2,$B$13:$O$501,14)))</f>
        <v>#DIV/0!</v>
      </c>
      <c r="AU169" s="101" t="e">
        <f t="shared" si="134"/>
        <v>#DIV/0!</v>
      </c>
      <c r="AV169" s="287" t="e">
        <f t="shared" si="135"/>
        <v>#DIV/0!</v>
      </c>
      <c r="AW169" s="235" t="e">
        <f t="shared" si="171"/>
        <v>#DIV/0!</v>
      </c>
      <c r="AX169" s="281">
        <f>IF(B169&gt;mpfo,0,IF(B169=mpfo,(vld-teo*(1+tcfo-incc)^(MAX(mmo,mmv)-mbfo))*-1,IF(SUM($N$13:N168)&gt;=pmo,IF(($V168/ntudv)&gt;=pmv,IF(B169=MAX(mmo,mmv),-teo*(1+tcfo-incc)^(B169-mbfo),0),0),0)))</f>
        <v>0</v>
      </c>
      <c r="AY169" s="292" t="e">
        <f t="shared" si="136"/>
        <v>#DIV/0!</v>
      </c>
      <c r="AZ169" s="235" t="e">
        <f t="shared" si="172"/>
        <v>#DIV/0!</v>
      </c>
      <c r="BA169" s="269" t="e">
        <f t="shared" si="173"/>
        <v>#DIV/0!</v>
      </c>
      <c r="BB169" s="292" t="e">
        <f t="shared" si="174"/>
        <v>#DIV/0!</v>
      </c>
      <c r="BC169" s="238" t="e">
        <f>IF(SUM($BC$13:BC168)&gt;0,0,IF(BB169&gt;0,B169,0))</f>
        <v>#DIV/0!</v>
      </c>
      <c r="BD169" s="292" t="e">
        <f>IF(BB169+SUM($BD$12:BD168)&gt;=0,0,-BB169-SUM($BD$12:BD168))</f>
        <v>#DIV/0!</v>
      </c>
      <c r="BE169" s="235" t="e">
        <f>BB169+SUM($BD$12:BD169)</f>
        <v>#DIV/0!</v>
      </c>
      <c r="BF169" s="292" t="e">
        <f>-MIN(BE169:$BE$501)-SUM(BF$12:$BF168)</f>
        <v>#DIV/0!</v>
      </c>
      <c r="BG169" s="235" t="e">
        <f t="shared" si="139"/>
        <v>#DIV/0!</v>
      </c>
    </row>
    <row r="170" spans="2:59">
      <c r="B170" s="246">
        <v>157</v>
      </c>
      <c r="C170" s="241">
        <f t="shared" si="138"/>
        <v>47457</v>
      </c>
      <c r="D170" s="229">
        <f t="shared" si="140"/>
        <v>12</v>
      </c>
      <c r="E170" s="230" t="str">
        <f t="shared" si="141"/>
        <v>-</v>
      </c>
      <c r="F170" s="231">
        <f t="shared" si="142"/>
        <v>0</v>
      </c>
      <c r="G170" s="231">
        <f t="shared" si="143"/>
        <v>0</v>
      </c>
      <c r="H170" s="231">
        <f t="shared" si="144"/>
        <v>0</v>
      </c>
      <c r="I170" s="268">
        <f t="shared" si="129"/>
        <v>0</v>
      </c>
      <c r="J170" s="269">
        <f t="shared" si="145"/>
        <v>0</v>
      </c>
      <c r="K170" s="269">
        <f t="shared" si="146"/>
        <v>0</v>
      </c>
      <c r="L170" s="269">
        <f t="shared" si="130"/>
        <v>0</v>
      </c>
      <c r="M170" s="269">
        <f t="shared" si="131"/>
        <v>0</v>
      </c>
      <c r="N170" s="233">
        <f>VLOOKUP(B170,Dados!$L$86:$P$90,5)</f>
        <v>0</v>
      </c>
      <c r="O170" s="270">
        <f t="shared" si="147"/>
        <v>0.99999999999999989</v>
      </c>
      <c r="P170" s="269">
        <f t="shared" si="148"/>
        <v>0</v>
      </c>
      <c r="Q170" s="269" t="e">
        <f t="shared" si="149"/>
        <v>#DIV/0!</v>
      </c>
      <c r="R170" s="269">
        <f t="shared" si="150"/>
        <v>0</v>
      </c>
      <c r="S170" s="269" t="e">
        <f t="shared" si="151"/>
        <v>#DIV/0!</v>
      </c>
      <c r="T170" s="269" t="e">
        <f t="shared" si="137"/>
        <v>#DIV/0!</v>
      </c>
      <c r="U170" s="234">
        <f t="shared" si="152"/>
        <v>0</v>
      </c>
      <c r="V170" s="232" t="e">
        <f t="shared" si="153"/>
        <v>#DIV/0!</v>
      </c>
      <c r="W170" s="269" t="e">
        <f t="shared" si="154"/>
        <v>#DIV/0!</v>
      </c>
      <c r="X170" s="235">
        <f t="shared" si="132"/>
        <v>0</v>
      </c>
      <c r="Y170" s="236">
        <f t="shared" si="155"/>
        <v>5</v>
      </c>
      <c r="Z170" s="236" t="e">
        <f t="shared" si="156"/>
        <v>#DIV/0!</v>
      </c>
      <c r="AA170" s="236">
        <f t="shared" si="157"/>
        <v>3</v>
      </c>
      <c r="AB170" s="236" t="e">
        <f t="shared" si="158"/>
        <v>#DIV/0!</v>
      </c>
      <c r="AC170" s="235">
        <f t="shared" si="159"/>
        <v>0</v>
      </c>
      <c r="AD170" s="235">
        <f t="shared" si="160"/>
        <v>0</v>
      </c>
      <c r="AE170" s="279">
        <f t="shared" si="161"/>
        <v>0</v>
      </c>
      <c r="AF170" s="232">
        <f t="shared" si="162"/>
        <v>1</v>
      </c>
      <c r="AG170" s="235">
        <f t="shared" si="163"/>
        <v>0</v>
      </c>
      <c r="AH170" s="269">
        <f t="shared" si="164"/>
        <v>0</v>
      </c>
      <c r="AI170" s="232">
        <f t="shared" si="165"/>
        <v>1</v>
      </c>
      <c r="AJ170" s="235">
        <f t="shared" si="166"/>
        <v>0</v>
      </c>
      <c r="AK170" s="269">
        <f t="shared" si="167"/>
        <v>0</v>
      </c>
      <c r="AL170" s="269">
        <f t="shared" si="133"/>
        <v>0</v>
      </c>
      <c r="AM170" s="281" t="e">
        <f>IF(B170&gt;=mpfo,pos*vvm*Dados!$E$122*(ntudv-SUM(U171:$U$301))-SUM($AM$13:AM169),0)</f>
        <v>#DIV/0!</v>
      </c>
      <c r="AN170" s="269" t="e">
        <f t="shared" si="168"/>
        <v>#DIV/0!</v>
      </c>
      <c r="AO170" s="232" t="e">
        <f t="shared" si="169"/>
        <v>#DIV/0!</v>
      </c>
      <c r="AP170" s="242" t="e">
        <f t="shared" si="170"/>
        <v>#DIV/0!</v>
      </c>
      <c r="AQ170" s="235" t="e">
        <f>IF(AP170+SUM($AQ$12:AQ169)&gt;=0,0,-AP170-SUM($AQ$12:AQ169))</f>
        <v>#DIV/0!</v>
      </c>
      <c r="AR170" s="235">
        <f>IF(SUM($N$13:N169)&gt;=pmo,IF(SUM(N169:$N$501)&gt;(1-pmo),B170,0),0)</f>
        <v>0</v>
      </c>
      <c r="AS170" s="235" t="e">
        <f>IF((SUM($U$13:$U169)/ntudv)&gt;=pmv,IF((SUM($U169:$U$501)/ntudv)&gt;(1-pmv),B170,0),0)</f>
        <v>#DIV/0!</v>
      </c>
      <c r="AT170" s="237" t="e">
        <f>IF(MAX(mmo,mmv)=mmo,IF(B170=AR170,(SUM(N$13:$N169)-pmo)/((1-VLOOKUP(MAX(mmo,mmv)-1,$B$13:$O$501,14))+(VLOOKUP(MAX(mmo,mmv)-1,$B$13:$O$501,14)-pmo)),N169/((1-VLOOKUP(MAX(mmo,mmv)-1,$B$13:$O$501,14)+(VLOOKUP(MAX(mmo,mmv)-1,$B$13:$O$501,14)-pmo)))),N169/(1-VLOOKUP(MAX(mmo,mmv)-2,$B$13:$O$501,14)))</f>
        <v>#DIV/0!</v>
      </c>
      <c r="AU170" s="101" t="e">
        <f t="shared" si="134"/>
        <v>#DIV/0!</v>
      </c>
      <c r="AV170" s="287" t="e">
        <f t="shared" si="135"/>
        <v>#DIV/0!</v>
      </c>
      <c r="AW170" s="235" t="e">
        <f t="shared" si="171"/>
        <v>#DIV/0!</v>
      </c>
      <c r="AX170" s="281">
        <f>IF(B170&gt;mpfo,0,IF(B170=mpfo,(vld-teo*(1+tcfo-incc)^(MAX(mmo,mmv)-mbfo))*-1,IF(SUM($N$13:N169)&gt;=pmo,IF(($V169/ntudv)&gt;=pmv,IF(B170=MAX(mmo,mmv),-teo*(1+tcfo-incc)^(B170-mbfo),0),0),0)))</f>
        <v>0</v>
      </c>
      <c r="AY170" s="292" t="e">
        <f t="shared" si="136"/>
        <v>#DIV/0!</v>
      </c>
      <c r="AZ170" s="235" t="e">
        <f t="shared" si="172"/>
        <v>#DIV/0!</v>
      </c>
      <c r="BA170" s="269" t="e">
        <f t="shared" si="173"/>
        <v>#DIV/0!</v>
      </c>
      <c r="BB170" s="292" t="e">
        <f t="shared" si="174"/>
        <v>#DIV/0!</v>
      </c>
      <c r="BC170" s="238" t="e">
        <f>IF(SUM($BC$13:BC169)&gt;0,0,IF(BB170&gt;0,B170,0))</f>
        <v>#DIV/0!</v>
      </c>
      <c r="BD170" s="292" t="e">
        <f>IF(BB170+SUM($BD$12:BD169)&gt;=0,0,-BB170-SUM($BD$12:BD169))</f>
        <v>#DIV/0!</v>
      </c>
      <c r="BE170" s="235" t="e">
        <f>BB170+SUM($BD$12:BD170)</f>
        <v>#DIV/0!</v>
      </c>
      <c r="BF170" s="292" t="e">
        <f>-MIN(BE170:$BE$501)-SUM(BF$12:$BF169)</f>
        <v>#DIV/0!</v>
      </c>
      <c r="BG170" s="235" t="e">
        <f t="shared" si="139"/>
        <v>#DIV/0!</v>
      </c>
    </row>
    <row r="171" spans="2:59">
      <c r="B171" s="120">
        <v>158</v>
      </c>
      <c r="C171" s="241">
        <f t="shared" si="138"/>
        <v>47488</v>
      </c>
      <c r="D171" s="229">
        <f t="shared" si="140"/>
        <v>1</v>
      </c>
      <c r="E171" s="230" t="str">
        <f t="shared" si="141"/>
        <v>-</v>
      </c>
      <c r="F171" s="231">
        <f t="shared" si="142"/>
        <v>0</v>
      </c>
      <c r="G171" s="231">
        <f t="shared" si="143"/>
        <v>0</v>
      </c>
      <c r="H171" s="231">
        <f t="shared" si="144"/>
        <v>0</v>
      </c>
      <c r="I171" s="268">
        <f t="shared" si="129"/>
        <v>0</v>
      </c>
      <c r="J171" s="269">
        <f t="shared" si="145"/>
        <v>0</v>
      </c>
      <c r="K171" s="269">
        <f t="shared" si="146"/>
        <v>0</v>
      </c>
      <c r="L171" s="269">
        <f t="shared" si="130"/>
        <v>0</v>
      </c>
      <c r="M171" s="269">
        <f t="shared" si="131"/>
        <v>0</v>
      </c>
      <c r="N171" s="233">
        <f>VLOOKUP(B171,Dados!$L$86:$P$90,5)</f>
        <v>0</v>
      </c>
      <c r="O171" s="270">
        <f t="shared" si="147"/>
        <v>0.99999999999999989</v>
      </c>
      <c r="P171" s="269">
        <f t="shared" si="148"/>
        <v>0</v>
      </c>
      <c r="Q171" s="269" t="e">
        <f t="shared" si="149"/>
        <v>#DIV/0!</v>
      </c>
      <c r="R171" s="269">
        <f t="shared" si="150"/>
        <v>0</v>
      </c>
      <c r="S171" s="269" t="e">
        <f t="shared" si="151"/>
        <v>#DIV/0!</v>
      </c>
      <c r="T171" s="269" t="e">
        <f t="shared" si="137"/>
        <v>#DIV/0!</v>
      </c>
      <c r="U171" s="234">
        <f t="shared" si="152"/>
        <v>0</v>
      </c>
      <c r="V171" s="232" t="e">
        <f t="shared" si="153"/>
        <v>#DIV/0!</v>
      </c>
      <c r="W171" s="269" t="e">
        <f t="shared" si="154"/>
        <v>#DIV/0!</v>
      </c>
      <c r="X171" s="235">
        <f t="shared" si="132"/>
        <v>0</v>
      </c>
      <c r="Y171" s="236">
        <f t="shared" si="155"/>
        <v>5</v>
      </c>
      <c r="Z171" s="236" t="e">
        <f t="shared" si="156"/>
        <v>#DIV/0!</v>
      </c>
      <c r="AA171" s="236">
        <f t="shared" si="157"/>
        <v>3</v>
      </c>
      <c r="AB171" s="236" t="e">
        <f t="shared" si="158"/>
        <v>#DIV/0!</v>
      </c>
      <c r="AC171" s="235">
        <f t="shared" si="159"/>
        <v>0</v>
      </c>
      <c r="AD171" s="235">
        <f t="shared" si="160"/>
        <v>0</v>
      </c>
      <c r="AE171" s="279">
        <f t="shared" si="161"/>
        <v>0</v>
      </c>
      <c r="AF171" s="232">
        <f t="shared" si="162"/>
        <v>0</v>
      </c>
      <c r="AG171" s="235">
        <f t="shared" si="163"/>
        <v>0</v>
      </c>
      <c r="AH171" s="269">
        <f t="shared" si="164"/>
        <v>0</v>
      </c>
      <c r="AI171" s="232">
        <f t="shared" si="165"/>
        <v>0</v>
      </c>
      <c r="AJ171" s="235">
        <f t="shared" si="166"/>
        <v>0</v>
      </c>
      <c r="AK171" s="269">
        <f t="shared" si="167"/>
        <v>0</v>
      </c>
      <c r="AL171" s="269">
        <f t="shared" si="133"/>
        <v>0</v>
      </c>
      <c r="AM171" s="281" t="e">
        <f>IF(B171&gt;=mpfo,pos*vvm*Dados!$E$122*(ntudv-SUM(U172:$U$301))-SUM($AM$13:AM170),0)</f>
        <v>#DIV/0!</v>
      </c>
      <c r="AN171" s="269" t="e">
        <f t="shared" si="168"/>
        <v>#DIV/0!</v>
      </c>
      <c r="AO171" s="232" t="e">
        <f t="shared" si="169"/>
        <v>#DIV/0!</v>
      </c>
      <c r="AP171" s="242" t="e">
        <f t="shared" si="170"/>
        <v>#DIV/0!</v>
      </c>
      <c r="AQ171" s="235" t="e">
        <f>IF(AP171+SUM($AQ$12:AQ170)&gt;=0,0,-AP171-SUM($AQ$12:AQ170))</f>
        <v>#DIV/0!</v>
      </c>
      <c r="AR171" s="235">
        <f>IF(SUM($N$13:N170)&gt;=pmo,IF(SUM(N170:$N$501)&gt;(1-pmo),B171,0),0)</f>
        <v>0</v>
      </c>
      <c r="AS171" s="235" t="e">
        <f>IF((SUM($U$13:$U170)/ntudv)&gt;=pmv,IF((SUM($U170:$U$501)/ntudv)&gt;(1-pmv),B171,0),0)</f>
        <v>#DIV/0!</v>
      </c>
      <c r="AT171" s="237" t="e">
        <f>IF(MAX(mmo,mmv)=mmo,IF(B171=AR171,(SUM(N$13:$N170)-pmo)/((1-VLOOKUP(MAX(mmo,mmv)-1,$B$13:$O$501,14))+(VLOOKUP(MAX(mmo,mmv)-1,$B$13:$O$501,14)-pmo)),N170/((1-VLOOKUP(MAX(mmo,mmv)-1,$B$13:$O$501,14)+(VLOOKUP(MAX(mmo,mmv)-1,$B$13:$O$501,14)-pmo)))),N170/(1-VLOOKUP(MAX(mmo,mmv)-2,$B$13:$O$501,14)))</f>
        <v>#DIV/0!</v>
      </c>
      <c r="AU171" s="101" t="e">
        <f t="shared" si="134"/>
        <v>#DIV/0!</v>
      </c>
      <c r="AV171" s="287" t="e">
        <f t="shared" si="135"/>
        <v>#DIV/0!</v>
      </c>
      <c r="AW171" s="235" t="e">
        <f t="shared" si="171"/>
        <v>#DIV/0!</v>
      </c>
      <c r="AX171" s="281">
        <f>IF(B171&gt;mpfo,0,IF(B171=mpfo,(vld-teo*(1+tcfo-incc)^(MAX(mmo,mmv)-mbfo))*-1,IF(SUM($N$13:N170)&gt;=pmo,IF(($V170/ntudv)&gt;=pmv,IF(B171=MAX(mmo,mmv),-teo*(1+tcfo-incc)^(B171-mbfo),0),0),0)))</f>
        <v>0</v>
      </c>
      <c r="AY171" s="292" t="e">
        <f t="shared" si="136"/>
        <v>#DIV/0!</v>
      </c>
      <c r="AZ171" s="235" t="e">
        <f t="shared" si="172"/>
        <v>#DIV/0!</v>
      </c>
      <c r="BA171" s="269" t="e">
        <f t="shared" si="173"/>
        <v>#DIV/0!</v>
      </c>
      <c r="BB171" s="292" t="e">
        <f t="shared" si="174"/>
        <v>#DIV/0!</v>
      </c>
      <c r="BC171" s="238" t="e">
        <f>IF(SUM($BC$13:BC170)&gt;0,0,IF(BB171&gt;0,B171,0))</f>
        <v>#DIV/0!</v>
      </c>
      <c r="BD171" s="292" t="e">
        <f>IF(BB171+SUM($BD$12:BD170)&gt;=0,0,-BB171-SUM($BD$12:BD170))</f>
        <v>#DIV/0!</v>
      </c>
      <c r="BE171" s="235" t="e">
        <f>BB171+SUM($BD$12:BD171)</f>
        <v>#DIV/0!</v>
      </c>
      <c r="BF171" s="292" t="e">
        <f>-MIN(BE171:$BE$501)-SUM(BF$12:$BF170)</f>
        <v>#DIV/0!</v>
      </c>
      <c r="BG171" s="235" t="e">
        <f t="shared" si="139"/>
        <v>#DIV/0!</v>
      </c>
    </row>
    <row r="172" spans="2:59">
      <c r="B172" s="246">
        <v>159</v>
      </c>
      <c r="C172" s="241">
        <f t="shared" si="138"/>
        <v>47519</v>
      </c>
      <c r="D172" s="229">
        <f t="shared" si="140"/>
        <v>2</v>
      </c>
      <c r="E172" s="230" t="str">
        <f t="shared" si="141"/>
        <v>-</v>
      </c>
      <c r="F172" s="231">
        <f t="shared" si="142"/>
        <v>0</v>
      </c>
      <c r="G172" s="231">
        <f t="shared" si="143"/>
        <v>0</v>
      </c>
      <c r="H172" s="231">
        <f t="shared" si="144"/>
        <v>0</v>
      </c>
      <c r="I172" s="268">
        <f t="shared" si="129"/>
        <v>0</v>
      </c>
      <c r="J172" s="269">
        <f t="shared" si="145"/>
        <v>0</v>
      </c>
      <c r="K172" s="269">
        <f t="shared" si="146"/>
        <v>0</v>
      </c>
      <c r="L172" s="269">
        <f t="shared" si="130"/>
        <v>0</v>
      </c>
      <c r="M172" s="269">
        <f t="shared" si="131"/>
        <v>0</v>
      </c>
      <c r="N172" s="233">
        <f>VLOOKUP(B172,Dados!$L$86:$P$90,5)</f>
        <v>0</v>
      </c>
      <c r="O172" s="270">
        <f t="shared" si="147"/>
        <v>0.99999999999999989</v>
      </c>
      <c r="P172" s="269">
        <f t="shared" si="148"/>
        <v>0</v>
      </c>
      <c r="Q172" s="269" t="e">
        <f t="shared" si="149"/>
        <v>#DIV/0!</v>
      </c>
      <c r="R172" s="269">
        <f t="shared" si="150"/>
        <v>0</v>
      </c>
      <c r="S172" s="269" t="e">
        <f t="shared" si="151"/>
        <v>#DIV/0!</v>
      </c>
      <c r="T172" s="269" t="e">
        <f t="shared" si="137"/>
        <v>#DIV/0!</v>
      </c>
      <c r="U172" s="234">
        <f t="shared" si="152"/>
        <v>0</v>
      </c>
      <c r="V172" s="232" t="e">
        <f t="shared" si="153"/>
        <v>#DIV/0!</v>
      </c>
      <c r="W172" s="269" t="e">
        <f t="shared" si="154"/>
        <v>#DIV/0!</v>
      </c>
      <c r="X172" s="235">
        <f t="shared" si="132"/>
        <v>0</v>
      </c>
      <c r="Y172" s="236">
        <f t="shared" si="155"/>
        <v>5</v>
      </c>
      <c r="Z172" s="236" t="e">
        <f t="shared" si="156"/>
        <v>#DIV/0!</v>
      </c>
      <c r="AA172" s="236">
        <f t="shared" si="157"/>
        <v>3</v>
      </c>
      <c r="AB172" s="236" t="e">
        <f t="shared" si="158"/>
        <v>#DIV/0!</v>
      </c>
      <c r="AC172" s="235">
        <f t="shared" si="159"/>
        <v>0</v>
      </c>
      <c r="AD172" s="235">
        <f t="shared" si="160"/>
        <v>0</v>
      </c>
      <c r="AE172" s="279">
        <f t="shared" si="161"/>
        <v>0</v>
      </c>
      <c r="AF172" s="232">
        <f t="shared" si="162"/>
        <v>0</v>
      </c>
      <c r="AG172" s="235">
        <f t="shared" si="163"/>
        <v>0</v>
      </c>
      <c r="AH172" s="269">
        <f t="shared" si="164"/>
        <v>0</v>
      </c>
      <c r="AI172" s="232">
        <f t="shared" si="165"/>
        <v>0</v>
      </c>
      <c r="AJ172" s="235">
        <f t="shared" si="166"/>
        <v>0</v>
      </c>
      <c r="AK172" s="269">
        <f t="shared" si="167"/>
        <v>0</v>
      </c>
      <c r="AL172" s="269">
        <f t="shared" si="133"/>
        <v>0</v>
      </c>
      <c r="AM172" s="281" t="e">
        <f>IF(B172&gt;=mpfo,pos*vvm*Dados!$E$122*(ntudv-SUM(U173:$U$301))-SUM($AM$13:AM171),0)</f>
        <v>#DIV/0!</v>
      </c>
      <c r="AN172" s="269" t="e">
        <f t="shared" si="168"/>
        <v>#DIV/0!</v>
      </c>
      <c r="AO172" s="232" t="e">
        <f t="shared" si="169"/>
        <v>#DIV/0!</v>
      </c>
      <c r="AP172" s="242" t="e">
        <f t="shared" si="170"/>
        <v>#DIV/0!</v>
      </c>
      <c r="AQ172" s="235" t="e">
        <f>IF(AP172+SUM($AQ$12:AQ171)&gt;=0,0,-AP172-SUM($AQ$12:AQ171))</f>
        <v>#DIV/0!</v>
      </c>
      <c r="AR172" s="235">
        <f>IF(SUM($N$13:N171)&gt;=pmo,IF(SUM(N171:$N$501)&gt;(1-pmo),B172,0),0)</f>
        <v>0</v>
      </c>
      <c r="AS172" s="235" t="e">
        <f>IF((SUM($U$13:$U171)/ntudv)&gt;=pmv,IF((SUM($U171:$U$501)/ntudv)&gt;(1-pmv),B172,0),0)</f>
        <v>#DIV/0!</v>
      </c>
      <c r="AT172" s="237" t="e">
        <f>IF(MAX(mmo,mmv)=mmo,IF(B172=AR172,(SUM(N$13:$N171)-pmo)/((1-VLOOKUP(MAX(mmo,mmv)-1,$B$13:$O$501,14))+(VLOOKUP(MAX(mmo,mmv)-1,$B$13:$O$501,14)-pmo)),N171/((1-VLOOKUP(MAX(mmo,mmv)-1,$B$13:$O$501,14)+(VLOOKUP(MAX(mmo,mmv)-1,$B$13:$O$501,14)-pmo)))),N171/(1-VLOOKUP(MAX(mmo,mmv)-2,$B$13:$O$501,14)))</f>
        <v>#DIV/0!</v>
      </c>
      <c r="AU172" s="101" t="e">
        <f t="shared" si="134"/>
        <v>#DIV/0!</v>
      </c>
      <c r="AV172" s="287" t="e">
        <f t="shared" si="135"/>
        <v>#DIV/0!</v>
      </c>
      <c r="AW172" s="235" t="e">
        <f t="shared" si="171"/>
        <v>#DIV/0!</v>
      </c>
      <c r="AX172" s="281">
        <f>IF(B172&gt;mpfo,0,IF(B172=mpfo,(vld-teo*(1+tcfo-incc)^(MAX(mmo,mmv)-mbfo))*-1,IF(SUM($N$13:N171)&gt;=pmo,IF(($V171/ntudv)&gt;=pmv,IF(B172=MAX(mmo,mmv),-teo*(1+tcfo-incc)^(B172-mbfo),0),0),0)))</f>
        <v>0</v>
      </c>
      <c r="AY172" s="292" t="e">
        <f t="shared" si="136"/>
        <v>#DIV/0!</v>
      </c>
      <c r="AZ172" s="235" t="e">
        <f t="shared" si="172"/>
        <v>#DIV/0!</v>
      </c>
      <c r="BA172" s="269" t="e">
        <f t="shared" si="173"/>
        <v>#DIV/0!</v>
      </c>
      <c r="BB172" s="292" t="e">
        <f t="shared" si="174"/>
        <v>#DIV/0!</v>
      </c>
      <c r="BC172" s="238" t="e">
        <f>IF(SUM($BC$13:BC171)&gt;0,0,IF(BB172&gt;0,B172,0))</f>
        <v>#DIV/0!</v>
      </c>
      <c r="BD172" s="292" t="e">
        <f>IF(BB172+SUM($BD$12:BD171)&gt;=0,0,-BB172-SUM($BD$12:BD171))</f>
        <v>#DIV/0!</v>
      </c>
      <c r="BE172" s="235" t="e">
        <f>BB172+SUM($BD$12:BD172)</f>
        <v>#DIV/0!</v>
      </c>
      <c r="BF172" s="292" t="e">
        <f>-MIN(BE172:$BE$501)-SUM(BF$12:$BF171)</f>
        <v>#DIV/0!</v>
      </c>
      <c r="BG172" s="235" t="e">
        <f t="shared" si="139"/>
        <v>#DIV/0!</v>
      </c>
    </row>
    <row r="173" spans="2:59">
      <c r="B173" s="120">
        <v>160</v>
      </c>
      <c r="C173" s="241">
        <f t="shared" si="138"/>
        <v>47547</v>
      </c>
      <c r="D173" s="229">
        <f t="shared" si="140"/>
        <v>3</v>
      </c>
      <c r="E173" s="230" t="str">
        <f t="shared" si="141"/>
        <v>-</v>
      </c>
      <c r="F173" s="231">
        <f t="shared" si="142"/>
        <v>0</v>
      </c>
      <c r="G173" s="231">
        <f t="shared" si="143"/>
        <v>0</v>
      </c>
      <c r="H173" s="231">
        <f t="shared" si="144"/>
        <v>0</v>
      </c>
      <c r="I173" s="268">
        <f t="shared" si="129"/>
        <v>0</v>
      </c>
      <c r="J173" s="269">
        <f t="shared" si="145"/>
        <v>0</v>
      </c>
      <c r="K173" s="269">
        <f t="shared" si="146"/>
        <v>0</v>
      </c>
      <c r="L173" s="269">
        <f t="shared" si="130"/>
        <v>0</v>
      </c>
      <c r="M173" s="269">
        <f t="shared" si="131"/>
        <v>0</v>
      </c>
      <c r="N173" s="233">
        <f>VLOOKUP(B173,Dados!$L$86:$P$90,5)</f>
        <v>0</v>
      </c>
      <c r="O173" s="270">
        <f t="shared" si="147"/>
        <v>0.99999999999999989</v>
      </c>
      <c r="P173" s="269">
        <f t="shared" si="148"/>
        <v>0</v>
      </c>
      <c r="Q173" s="269" t="e">
        <f t="shared" si="149"/>
        <v>#DIV/0!</v>
      </c>
      <c r="R173" s="269">
        <f t="shared" si="150"/>
        <v>0</v>
      </c>
      <c r="S173" s="269" t="e">
        <f t="shared" si="151"/>
        <v>#DIV/0!</v>
      </c>
      <c r="T173" s="269" t="e">
        <f t="shared" si="137"/>
        <v>#DIV/0!</v>
      </c>
      <c r="U173" s="234">
        <f t="shared" si="152"/>
        <v>0</v>
      </c>
      <c r="V173" s="232" t="e">
        <f t="shared" si="153"/>
        <v>#DIV/0!</v>
      </c>
      <c r="W173" s="269" t="e">
        <f t="shared" si="154"/>
        <v>#DIV/0!</v>
      </c>
      <c r="X173" s="235">
        <f t="shared" si="132"/>
        <v>0</v>
      </c>
      <c r="Y173" s="236">
        <f t="shared" si="155"/>
        <v>5</v>
      </c>
      <c r="Z173" s="236" t="e">
        <f t="shared" si="156"/>
        <v>#DIV/0!</v>
      </c>
      <c r="AA173" s="236">
        <f t="shared" si="157"/>
        <v>3</v>
      </c>
      <c r="AB173" s="236" t="e">
        <f t="shared" si="158"/>
        <v>#DIV/0!</v>
      </c>
      <c r="AC173" s="235">
        <f t="shared" si="159"/>
        <v>0</v>
      </c>
      <c r="AD173" s="235">
        <f t="shared" si="160"/>
        <v>0</v>
      </c>
      <c r="AE173" s="279">
        <f t="shared" si="161"/>
        <v>0</v>
      </c>
      <c r="AF173" s="232">
        <f t="shared" si="162"/>
        <v>0</v>
      </c>
      <c r="AG173" s="235">
        <f t="shared" si="163"/>
        <v>0</v>
      </c>
      <c r="AH173" s="269">
        <f t="shared" si="164"/>
        <v>0</v>
      </c>
      <c r="AI173" s="232">
        <f t="shared" si="165"/>
        <v>0</v>
      </c>
      <c r="AJ173" s="235">
        <f t="shared" si="166"/>
        <v>0</v>
      </c>
      <c r="AK173" s="269">
        <f t="shared" si="167"/>
        <v>0</v>
      </c>
      <c r="AL173" s="269">
        <f t="shared" si="133"/>
        <v>0</v>
      </c>
      <c r="AM173" s="281" t="e">
        <f>IF(B173&gt;=mpfo,pos*vvm*Dados!$E$122*(ntudv-SUM(U174:$U$301))-SUM($AM$13:AM172),0)</f>
        <v>#DIV/0!</v>
      </c>
      <c r="AN173" s="269" t="e">
        <f t="shared" si="168"/>
        <v>#DIV/0!</v>
      </c>
      <c r="AO173" s="232" t="e">
        <f t="shared" si="169"/>
        <v>#DIV/0!</v>
      </c>
      <c r="AP173" s="242" t="e">
        <f t="shared" si="170"/>
        <v>#DIV/0!</v>
      </c>
      <c r="AQ173" s="235" t="e">
        <f>IF(AP173+SUM($AQ$12:AQ172)&gt;=0,0,-AP173-SUM($AQ$12:AQ172))</f>
        <v>#DIV/0!</v>
      </c>
      <c r="AR173" s="235">
        <f>IF(SUM($N$13:N172)&gt;=pmo,IF(SUM(N172:$N$501)&gt;(1-pmo),B173,0),0)</f>
        <v>0</v>
      </c>
      <c r="AS173" s="235" t="e">
        <f>IF((SUM($U$13:$U172)/ntudv)&gt;=pmv,IF((SUM($U172:$U$501)/ntudv)&gt;(1-pmv),B173,0),0)</f>
        <v>#DIV/0!</v>
      </c>
      <c r="AT173" s="237" t="e">
        <f>IF(MAX(mmo,mmv)=mmo,IF(B173=AR173,(SUM(N$13:$N172)-pmo)/((1-VLOOKUP(MAX(mmo,mmv)-1,$B$13:$O$501,14))+(VLOOKUP(MAX(mmo,mmv)-1,$B$13:$O$501,14)-pmo)),N172/((1-VLOOKUP(MAX(mmo,mmv)-1,$B$13:$O$501,14)+(VLOOKUP(MAX(mmo,mmv)-1,$B$13:$O$501,14)-pmo)))),N172/(1-VLOOKUP(MAX(mmo,mmv)-2,$B$13:$O$501,14)))</f>
        <v>#DIV/0!</v>
      </c>
      <c r="AU173" s="101" t="e">
        <f t="shared" si="134"/>
        <v>#DIV/0!</v>
      </c>
      <c r="AV173" s="287" t="e">
        <f t="shared" si="135"/>
        <v>#DIV/0!</v>
      </c>
      <c r="AW173" s="235" t="e">
        <f t="shared" si="171"/>
        <v>#DIV/0!</v>
      </c>
      <c r="AX173" s="281">
        <f>IF(B173&gt;mpfo,0,IF(B173=mpfo,(vld-teo*(1+tcfo-incc)^(MAX(mmo,mmv)-mbfo))*-1,IF(SUM($N$13:N172)&gt;=pmo,IF(($V172/ntudv)&gt;=pmv,IF(B173=MAX(mmo,mmv),-teo*(1+tcfo-incc)^(B173-mbfo),0),0),0)))</f>
        <v>0</v>
      </c>
      <c r="AY173" s="292" t="e">
        <f t="shared" si="136"/>
        <v>#DIV/0!</v>
      </c>
      <c r="AZ173" s="235" t="e">
        <f t="shared" si="172"/>
        <v>#DIV/0!</v>
      </c>
      <c r="BA173" s="269" t="e">
        <f t="shared" si="173"/>
        <v>#DIV/0!</v>
      </c>
      <c r="BB173" s="292" t="e">
        <f t="shared" si="174"/>
        <v>#DIV/0!</v>
      </c>
      <c r="BC173" s="238" t="e">
        <f>IF(SUM($BC$13:BC172)&gt;0,0,IF(BB173&gt;0,B173,0))</f>
        <v>#DIV/0!</v>
      </c>
      <c r="BD173" s="292" t="e">
        <f>IF(BB173+SUM($BD$12:BD172)&gt;=0,0,-BB173-SUM($BD$12:BD172))</f>
        <v>#DIV/0!</v>
      </c>
      <c r="BE173" s="235" t="e">
        <f>BB173+SUM($BD$12:BD173)</f>
        <v>#DIV/0!</v>
      </c>
      <c r="BF173" s="292" t="e">
        <f>-MIN(BE173:$BE$501)-SUM(BF$12:$BF172)</f>
        <v>#DIV/0!</v>
      </c>
      <c r="BG173" s="235" t="e">
        <f t="shared" si="139"/>
        <v>#DIV/0!</v>
      </c>
    </row>
    <row r="174" spans="2:59">
      <c r="B174" s="246">
        <v>161</v>
      </c>
      <c r="C174" s="241">
        <f t="shared" si="138"/>
        <v>47578</v>
      </c>
      <c r="D174" s="229">
        <f t="shared" si="140"/>
        <v>4</v>
      </c>
      <c r="E174" s="230" t="str">
        <f t="shared" si="141"/>
        <v>-</v>
      </c>
      <c r="F174" s="231">
        <f t="shared" si="142"/>
        <v>0</v>
      </c>
      <c r="G174" s="231">
        <f t="shared" si="143"/>
        <v>0</v>
      </c>
      <c r="H174" s="231">
        <f t="shared" si="144"/>
        <v>0</v>
      </c>
      <c r="I174" s="268">
        <f t="shared" si="129"/>
        <v>0</v>
      </c>
      <c r="J174" s="269">
        <f t="shared" si="145"/>
        <v>0</v>
      </c>
      <c r="K174" s="269">
        <f t="shared" si="146"/>
        <v>0</v>
      </c>
      <c r="L174" s="269">
        <f t="shared" si="130"/>
        <v>0</v>
      </c>
      <c r="M174" s="269">
        <f t="shared" si="131"/>
        <v>0</v>
      </c>
      <c r="N174" s="233">
        <f>VLOOKUP(B174,Dados!$L$86:$P$90,5)</f>
        <v>0</v>
      </c>
      <c r="O174" s="270">
        <f t="shared" si="147"/>
        <v>0.99999999999999989</v>
      </c>
      <c r="P174" s="269">
        <f t="shared" si="148"/>
        <v>0</v>
      </c>
      <c r="Q174" s="269" t="e">
        <f t="shared" si="149"/>
        <v>#DIV/0!</v>
      </c>
      <c r="R174" s="269">
        <f t="shared" si="150"/>
        <v>0</v>
      </c>
      <c r="S174" s="269" t="e">
        <f t="shared" si="151"/>
        <v>#DIV/0!</v>
      </c>
      <c r="T174" s="269" t="e">
        <f t="shared" si="137"/>
        <v>#DIV/0!</v>
      </c>
      <c r="U174" s="234">
        <f t="shared" si="152"/>
        <v>0</v>
      </c>
      <c r="V174" s="232" t="e">
        <f t="shared" si="153"/>
        <v>#DIV/0!</v>
      </c>
      <c r="W174" s="269" t="e">
        <f t="shared" si="154"/>
        <v>#DIV/0!</v>
      </c>
      <c r="X174" s="235">
        <f t="shared" si="132"/>
        <v>0</v>
      </c>
      <c r="Y174" s="236">
        <f t="shared" si="155"/>
        <v>5</v>
      </c>
      <c r="Z174" s="236" t="e">
        <f t="shared" si="156"/>
        <v>#DIV/0!</v>
      </c>
      <c r="AA174" s="236">
        <f t="shared" si="157"/>
        <v>3</v>
      </c>
      <c r="AB174" s="236" t="e">
        <f t="shared" si="158"/>
        <v>#DIV/0!</v>
      </c>
      <c r="AC174" s="235">
        <f t="shared" si="159"/>
        <v>0</v>
      </c>
      <c r="AD174" s="235">
        <f t="shared" si="160"/>
        <v>0</v>
      </c>
      <c r="AE174" s="279">
        <f t="shared" si="161"/>
        <v>0</v>
      </c>
      <c r="AF174" s="232">
        <f t="shared" si="162"/>
        <v>0</v>
      </c>
      <c r="AG174" s="235">
        <f t="shared" si="163"/>
        <v>0</v>
      </c>
      <c r="AH174" s="269">
        <f t="shared" si="164"/>
        <v>0</v>
      </c>
      <c r="AI174" s="232">
        <f t="shared" si="165"/>
        <v>0</v>
      </c>
      <c r="AJ174" s="235">
        <f t="shared" si="166"/>
        <v>0</v>
      </c>
      <c r="AK174" s="269">
        <f t="shared" si="167"/>
        <v>0</v>
      </c>
      <c r="AL174" s="269">
        <f t="shared" si="133"/>
        <v>0</v>
      </c>
      <c r="AM174" s="281" t="e">
        <f>IF(B174&gt;=mpfo,pos*vvm*Dados!$E$122*(ntudv-SUM(U175:$U$301))-SUM($AM$13:AM173),0)</f>
        <v>#DIV/0!</v>
      </c>
      <c r="AN174" s="269" t="e">
        <f t="shared" si="168"/>
        <v>#DIV/0!</v>
      </c>
      <c r="AO174" s="232" t="e">
        <f t="shared" si="169"/>
        <v>#DIV/0!</v>
      </c>
      <c r="AP174" s="242" t="e">
        <f t="shared" si="170"/>
        <v>#DIV/0!</v>
      </c>
      <c r="AQ174" s="235" t="e">
        <f>IF(AP174+SUM($AQ$12:AQ173)&gt;=0,0,-AP174-SUM($AQ$12:AQ173))</f>
        <v>#DIV/0!</v>
      </c>
      <c r="AR174" s="235">
        <f>IF(SUM($N$13:N173)&gt;=pmo,IF(SUM(N173:$N$501)&gt;(1-pmo),B174,0),0)</f>
        <v>0</v>
      </c>
      <c r="AS174" s="235" t="e">
        <f>IF((SUM($U$13:$U173)/ntudv)&gt;=pmv,IF((SUM($U173:$U$501)/ntudv)&gt;(1-pmv),B174,0),0)</f>
        <v>#DIV/0!</v>
      </c>
      <c r="AT174" s="237" t="e">
        <f>IF(MAX(mmo,mmv)=mmo,IF(B174=AR174,(SUM(N$13:$N173)-pmo)/((1-VLOOKUP(MAX(mmo,mmv)-1,$B$13:$O$501,14))+(VLOOKUP(MAX(mmo,mmv)-1,$B$13:$O$501,14)-pmo)),N173/((1-VLOOKUP(MAX(mmo,mmv)-1,$B$13:$O$501,14)+(VLOOKUP(MAX(mmo,mmv)-1,$B$13:$O$501,14)-pmo)))),N173/(1-VLOOKUP(MAX(mmo,mmv)-2,$B$13:$O$501,14)))</f>
        <v>#DIV/0!</v>
      </c>
      <c r="AU174" s="101" t="e">
        <f t="shared" si="134"/>
        <v>#DIV/0!</v>
      </c>
      <c r="AV174" s="287" t="e">
        <f t="shared" si="135"/>
        <v>#DIV/0!</v>
      </c>
      <c r="AW174" s="235" t="e">
        <f t="shared" si="171"/>
        <v>#DIV/0!</v>
      </c>
      <c r="AX174" s="281">
        <f>IF(B174&gt;mpfo,0,IF(B174=mpfo,(vld-teo*(1+tcfo-incc)^(MAX(mmo,mmv)-mbfo))*-1,IF(SUM($N$13:N173)&gt;=pmo,IF(($V173/ntudv)&gt;=pmv,IF(B174=MAX(mmo,mmv),-teo*(1+tcfo-incc)^(B174-mbfo),0),0),0)))</f>
        <v>0</v>
      </c>
      <c r="AY174" s="292" t="e">
        <f t="shared" si="136"/>
        <v>#DIV/0!</v>
      </c>
      <c r="AZ174" s="235" t="e">
        <f t="shared" si="172"/>
        <v>#DIV/0!</v>
      </c>
      <c r="BA174" s="269" t="e">
        <f t="shared" si="173"/>
        <v>#DIV/0!</v>
      </c>
      <c r="BB174" s="292" t="e">
        <f t="shared" si="174"/>
        <v>#DIV/0!</v>
      </c>
      <c r="BC174" s="238" t="e">
        <f>IF(SUM($BC$13:BC173)&gt;0,0,IF(BB174&gt;0,B174,0))</f>
        <v>#DIV/0!</v>
      </c>
      <c r="BD174" s="292" t="e">
        <f>IF(BB174+SUM($BD$12:BD173)&gt;=0,0,-BB174-SUM($BD$12:BD173))</f>
        <v>#DIV/0!</v>
      </c>
      <c r="BE174" s="235" t="e">
        <f>BB174+SUM($BD$12:BD174)</f>
        <v>#DIV/0!</v>
      </c>
      <c r="BF174" s="292" t="e">
        <f>-MIN(BE174:$BE$501)-SUM(BF$12:$BF173)</f>
        <v>#DIV/0!</v>
      </c>
      <c r="BG174" s="235" t="e">
        <f t="shared" si="139"/>
        <v>#DIV/0!</v>
      </c>
    </row>
    <row r="175" spans="2:59">
      <c r="B175" s="120">
        <v>162</v>
      </c>
      <c r="C175" s="241">
        <f t="shared" si="138"/>
        <v>47608</v>
      </c>
      <c r="D175" s="229">
        <f t="shared" si="140"/>
        <v>5</v>
      </c>
      <c r="E175" s="230" t="str">
        <f t="shared" si="141"/>
        <v>-</v>
      </c>
      <c r="F175" s="231">
        <f t="shared" si="142"/>
        <v>0</v>
      </c>
      <c r="G175" s="231">
        <f t="shared" si="143"/>
        <v>0</v>
      </c>
      <c r="H175" s="231">
        <f t="shared" si="144"/>
        <v>0</v>
      </c>
      <c r="I175" s="268">
        <f t="shared" si="129"/>
        <v>0</v>
      </c>
      <c r="J175" s="269">
        <f t="shared" si="145"/>
        <v>0</v>
      </c>
      <c r="K175" s="269">
        <f t="shared" si="146"/>
        <v>0</v>
      </c>
      <c r="L175" s="269">
        <f t="shared" si="130"/>
        <v>0</v>
      </c>
      <c r="M175" s="269">
        <f t="shared" si="131"/>
        <v>0</v>
      </c>
      <c r="N175" s="233">
        <f>VLOOKUP(B175,Dados!$L$86:$P$90,5)</f>
        <v>0</v>
      </c>
      <c r="O175" s="270">
        <f t="shared" si="147"/>
        <v>0.99999999999999989</v>
      </c>
      <c r="P175" s="269">
        <f t="shared" si="148"/>
        <v>0</v>
      </c>
      <c r="Q175" s="269" t="e">
        <f t="shared" si="149"/>
        <v>#DIV/0!</v>
      </c>
      <c r="R175" s="269">
        <f t="shared" si="150"/>
        <v>0</v>
      </c>
      <c r="S175" s="269" t="e">
        <f t="shared" si="151"/>
        <v>#DIV/0!</v>
      </c>
      <c r="T175" s="269" t="e">
        <f t="shared" si="137"/>
        <v>#DIV/0!</v>
      </c>
      <c r="U175" s="234">
        <f t="shared" si="152"/>
        <v>0</v>
      </c>
      <c r="V175" s="232" t="e">
        <f t="shared" si="153"/>
        <v>#DIV/0!</v>
      </c>
      <c r="W175" s="269" t="e">
        <f t="shared" si="154"/>
        <v>#DIV/0!</v>
      </c>
      <c r="X175" s="235">
        <f t="shared" si="132"/>
        <v>0</v>
      </c>
      <c r="Y175" s="236">
        <f t="shared" si="155"/>
        <v>5</v>
      </c>
      <c r="Z175" s="236" t="e">
        <f t="shared" si="156"/>
        <v>#DIV/0!</v>
      </c>
      <c r="AA175" s="236">
        <f t="shared" si="157"/>
        <v>3</v>
      </c>
      <c r="AB175" s="236" t="e">
        <f t="shared" si="158"/>
        <v>#DIV/0!</v>
      </c>
      <c r="AC175" s="235">
        <f t="shared" si="159"/>
        <v>0</v>
      </c>
      <c r="AD175" s="235">
        <f t="shared" si="160"/>
        <v>0</v>
      </c>
      <c r="AE175" s="279">
        <f t="shared" si="161"/>
        <v>0</v>
      </c>
      <c r="AF175" s="232">
        <f t="shared" si="162"/>
        <v>0</v>
      </c>
      <c r="AG175" s="235">
        <f t="shared" si="163"/>
        <v>0</v>
      </c>
      <c r="AH175" s="269">
        <f t="shared" si="164"/>
        <v>0</v>
      </c>
      <c r="AI175" s="232">
        <f t="shared" si="165"/>
        <v>0</v>
      </c>
      <c r="AJ175" s="235">
        <f t="shared" si="166"/>
        <v>0</v>
      </c>
      <c r="AK175" s="269">
        <f t="shared" si="167"/>
        <v>0</v>
      </c>
      <c r="AL175" s="269">
        <f t="shared" si="133"/>
        <v>0</v>
      </c>
      <c r="AM175" s="281" t="e">
        <f>IF(B175&gt;=mpfo,pos*vvm*Dados!$E$122*(ntudv-SUM(U176:$U$301))-SUM($AM$13:AM174),0)</f>
        <v>#DIV/0!</v>
      </c>
      <c r="AN175" s="269" t="e">
        <f t="shared" si="168"/>
        <v>#DIV/0!</v>
      </c>
      <c r="AO175" s="232" t="e">
        <f t="shared" si="169"/>
        <v>#DIV/0!</v>
      </c>
      <c r="AP175" s="242" t="e">
        <f t="shared" si="170"/>
        <v>#DIV/0!</v>
      </c>
      <c r="AQ175" s="235" t="e">
        <f>IF(AP175+SUM($AQ$12:AQ174)&gt;=0,0,-AP175-SUM($AQ$12:AQ174))</f>
        <v>#DIV/0!</v>
      </c>
      <c r="AR175" s="235">
        <f>IF(SUM($N$13:N174)&gt;=pmo,IF(SUM(N174:$N$501)&gt;(1-pmo),B175,0),0)</f>
        <v>0</v>
      </c>
      <c r="AS175" s="235" t="e">
        <f>IF((SUM($U$13:$U174)/ntudv)&gt;=pmv,IF((SUM($U174:$U$501)/ntudv)&gt;(1-pmv),B175,0),0)</f>
        <v>#DIV/0!</v>
      </c>
      <c r="AT175" s="237" t="e">
        <f>IF(MAX(mmo,mmv)=mmo,IF(B175=AR175,(SUM(N$13:$N174)-pmo)/((1-VLOOKUP(MAX(mmo,mmv)-1,$B$13:$O$501,14))+(VLOOKUP(MAX(mmo,mmv)-1,$B$13:$O$501,14)-pmo)),N174/((1-VLOOKUP(MAX(mmo,mmv)-1,$B$13:$O$501,14)+(VLOOKUP(MAX(mmo,mmv)-1,$B$13:$O$501,14)-pmo)))),N174/(1-VLOOKUP(MAX(mmo,mmv)-2,$B$13:$O$501,14)))</f>
        <v>#DIV/0!</v>
      </c>
      <c r="AU175" s="101" t="e">
        <f t="shared" si="134"/>
        <v>#DIV/0!</v>
      </c>
      <c r="AV175" s="287" t="e">
        <f t="shared" si="135"/>
        <v>#DIV/0!</v>
      </c>
      <c r="AW175" s="235" t="e">
        <f t="shared" si="171"/>
        <v>#DIV/0!</v>
      </c>
      <c r="AX175" s="281">
        <f>IF(B175&gt;mpfo,0,IF(B175=mpfo,(vld-teo*(1+tcfo-incc)^(MAX(mmo,mmv)-mbfo))*-1,IF(SUM($N$13:N174)&gt;=pmo,IF(($V174/ntudv)&gt;=pmv,IF(B175=MAX(mmo,mmv),-teo*(1+tcfo-incc)^(B175-mbfo),0),0),0)))</f>
        <v>0</v>
      </c>
      <c r="AY175" s="292" t="e">
        <f t="shared" si="136"/>
        <v>#DIV/0!</v>
      </c>
      <c r="AZ175" s="235" t="e">
        <f t="shared" si="172"/>
        <v>#DIV/0!</v>
      </c>
      <c r="BA175" s="269" t="e">
        <f t="shared" si="173"/>
        <v>#DIV/0!</v>
      </c>
      <c r="BB175" s="292" t="e">
        <f t="shared" si="174"/>
        <v>#DIV/0!</v>
      </c>
      <c r="BC175" s="238" t="e">
        <f>IF(SUM($BC$13:BC174)&gt;0,0,IF(BB175&gt;0,B175,0))</f>
        <v>#DIV/0!</v>
      </c>
      <c r="BD175" s="292" t="e">
        <f>IF(BB175+SUM($BD$12:BD174)&gt;=0,0,-BB175-SUM($BD$12:BD174))</f>
        <v>#DIV/0!</v>
      </c>
      <c r="BE175" s="235" t="e">
        <f>BB175+SUM($BD$12:BD175)</f>
        <v>#DIV/0!</v>
      </c>
      <c r="BF175" s="292" t="e">
        <f>-MIN(BE175:$BE$501)-SUM(BF$12:$BF174)</f>
        <v>#DIV/0!</v>
      </c>
      <c r="BG175" s="235" t="e">
        <f t="shared" si="139"/>
        <v>#DIV/0!</v>
      </c>
    </row>
    <row r="176" spans="2:59">
      <c r="B176" s="246">
        <v>163</v>
      </c>
      <c r="C176" s="241">
        <f t="shared" si="138"/>
        <v>47639</v>
      </c>
      <c r="D176" s="229">
        <f t="shared" si="140"/>
        <v>6</v>
      </c>
      <c r="E176" s="230" t="str">
        <f t="shared" si="141"/>
        <v>-</v>
      </c>
      <c r="F176" s="231">
        <f t="shared" si="142"/>
        <v>0</v>
      </c>
      <c r="G176" s="231">
        <f t="shared" si="143"/>
        <v>0</v>
      </c>
      <c r="H176" s="231">
        <f t="shared" si="144"/>
        <v>0</v>
      </c>
      <c r="I176" s="268">
        <f t="shared" si="129"/>
        <v>0</v>
      </c>
      <c r="J176" s="269">
        <f t="shared" si="145"/>
        <v>0</v>
      </c>
      <c r="K176" s="269">
        <f t="shared" si="146"/>
        <v>0</v>
      </c>
      <c r="L176" s="269">
        <f t="shared" si="130"/>
        <v>0</v>
      </c>
      <c r="M176" s="269">
        <f t="shared" si="131"/>
        <v>0</v>
      </c>
      <c r="N176" s="233">
        <f>VLOOKUP(B176,Dados!$L$86:$P$90,5)</f>
        <v>0</v>
      </c>
      <c r="O176" s="270">
        <f t="shared" si="147"/>
        <v>0.99999999999999989</v>
      </c>
      <c r="P176" s="269">
        <f t="shared" si="148"/>
        <v>0</v>
      </c>
      <c r="Q176" s="269" t="e">
        <f t="shared" si="149"/>
        <v>#DIV/0!</v>
      </c>
      <c r="R176" s="269">
        <f t="shared" si="150"/>
        <v>0</v>
      </c>
      <c r="S176" s="269" t="e">
        <f t="shared" si="151"/>
        <v>#DIV/0!</v>
      </c>
      <c r="T176" s="269" t="e">
        <f t="shared" si="137"/>
        <v>#DIV/0!</v>
      </c>
      <c r="U176" s="234">
        <f t="shared" si="152"/>
        <v>0</v>
      </c>
      <c r="V176" s="232" t="e">
        <f t="shared" si="153"/>
        <v>#DIV/0!</v>
      </c>
      <c r="W176" s="269" t="e">
        <f t="shared" si="154"/>
        <v>#DIV/0!</v>
      </c>
      <c r="X176" s="235">
        <f t="shared" si="132"/>
        <v>0</v>
      </c>
      <c r="Y176" s="236">
        <f t="shared" si="155"/>
        <v>5</v>
      </c>
      <c r="Z176" s="236" t="e">
        <f t="shared" si="156"/>
        <v>#DIV/0!</v>
      </c>
      <c r="AA176" s="236">
        <f t="shared" si="157"/>
        <v>3</v>
      </c>
      <c r="AB176" s="236" t="e">
        <f t="shared" si="158"/>
        <v>#DIV/0!</v>
      </c>
      <c r="AC176" s="235">
        <f t="shared" si="159"/>
        <v>0</v>
      </c>
      <c r="AD176" s="235">
        <f t="shared" si="160"/>
        <v>0</v>
      </c>
      <c r="AE176" s="279">
        <f t="shared" si="161"/>
        <v>0</v>
      </c>
      <c r="AF176" s="232">
        <f t="shared" si="162"/>
        <v>1</v>
      </c>
      <c r="AG176" s="235">
        <f t="shared" si="163"/>
        <v>0</v>
      </c>
      <c r="AH176" s="269">
        <f t="shared" si="164"/>
        <v>0</v>
      </c>
      <c r="AI176" s="232">
        <f t="shared" si="165"/>
        <v>0</v>
      </c>
      <c r="AJ176" s="235">
        <f t="shared" si="166"/>
        <v>0</v>
      </c>
      <c r="AK176" s="269">
        <f t="shared" si="167"/>
        <v>0</v>
      </c>
      <c r="AL176" s="269">
        <f t="shared" si="133"/>
        <v>0</v>
      </c>
      <c r="AM176" s="281" t="e">
        <f>IF(B176&gt;=mpfo,pos*vvm*Dados!$E$122*(ntudv-SUM(U177:$U$301))-SUM($AM$13:AM175),0)</f>
        <v>#DIV/0!</v>
      </c>
      <c r="AN176" s="269" t="e">
        <f t="shared" si="168"/>
        <v>#DIV/0!</v>
      </c>
      <c r="AO176" s="232" t="e">
        <f t="shared" si="169"/>
        <v>#DIV/0!</v>
      </c>
      <c r="AP176" s="242" t="e">
        <f t="shared" si="170"/>
        <v>#DIV/0!</v>
      </c>
      <c r="AQ176" s="235" t="e">
        <f>IF(AP176+SUM($AQ$12:AQ175)&gt;=0,0,-AP176-SUM($AQ$12:AQ175))</f>
        <v>#DIV/0!</v>
      </c>
      <c r="AR176" s="235">
        <f>IF(SUM($N$13:N175)&gt;=pmo,IF(SUM(N175:$N$501)&gt;(1-pmo),B176,0),0)</f>
        <v>0</v>
      </c>
      <c r="AS176" s="235" t="e">
        <f>IF((SUM($U$13:$U175)/ntudv)&gt;=pmv,IF((SUM($U175:$U$501)/ntudv)&gt;(1-pmv),B176,0),0)</f>
        <v>#DIV/0!</v>
      </c>
      <c r="AT176" s="237" t="e">
        <f>IF(MAX(mmo,mmv)=mmo,IF(B176=AR176,(SUM(N$13:$N175)-pmo)/((1-VLOOKUP(MAX(mmo,mmv)-1,$B$13:$O$501,14))+(VLOOKUP(MAX(mmo,mmv)-1,$B$13:$O$501,14)-pmo)),N175/((1-VLOOKUP(MAX(mmo,mmv)-1,$B$13:$O$501,14)+(VLOOKUP(MAX(mmo,mmv)-1,$B$13:$O$501,14)-pmo)))),N175/(1-VLOOKUP(MAX(mmo,mmv)-2,$B$13:$O$501,14)))</f>
        <v>#DIV/0!</v>
      </c>
      <c r="AU176" s="101" t="e">
        <f t="shared" si="134"/>
        <v>#DIV/0!</v>
      </c>
      <c r="AV176" s="287" t="e">
        <f t="shared" si="135"/>
        <v>#DIV/0!</v>
      </c>
      <c r="AW176" s="235" t="e">
        <f t="shared" si="171"/>
        <v>#DIV/0!</v>
      </c>
      <c r="AX176" s="281">
        <f>IF(B176&gt;mpfo,0,IF(B176=mpfo,(vld-teo*(1+tcfo-incc)^(MAX(mmo,mmv)-mbfo))*-1,IF(SUM($N$13:N175)&gt;=pmo,IF(($V175/ntudv)&gt;=pmv,IF(B176=MAX(mmo,mmv),-teo*(1+tcfo-incc)^(B176-mbfo),0),0),0)))</f>
        <v>0</v>
      </c>
      <c r="AY176" s="292" t="e">
        <f t="shared" si="136"/>
        <v>#DIV/0!</v>
      </c>
      <c r="AZ176" s="235" t="e">
        <f t="shared" si="172"/>
        <v>#DIV/0!</v>
      </c>
      <c r="BA176" s="269" t="e">
        <f t="shared" si="173"/>
        <v>#DIV/0!</v>
      </c>
      <c r="BB176" s="292" t="e">
        <f t="shared" si="174"/>
        <v>#DIV/0!</v>
      </c>
      <c r="BC176" s="238" t="e">
        <f>IF(SUM($BC$13:BC175)&gt;0,0,IF(BB176&gt;0,B176,0))</f>
        <v>#DIV/0!</v>
      </c>
      <c r="BD176" s="292" t="e">
        <f>IF(BB176+SUM($BD$12:BD175)&gt;=0,0,-BB176-SUM($BD$12:BD175))</f>
        <v>#DIV/0!</v>
      </c>
      <c r="BE176" s="235" t="e">
        <f>BB176+SUM($BD$12:BD176)</f>
        <v>#DIV/0!</v>
      </c>
      <c r="BF176" s="292" t="e">
        <f>-MIN(BE176:$BE$501)-SUM(BF$12:$BF175)</f>
        <v>#DIV/0!</v>
      </c>
      <c r="BG176" s="235" t="e">
        <f t="shared" si="139"/>
        <v>#DIV/0!</v>
      </c>
    </row>
    <row r="177" spans="2:59">
      <c r="B177" s="120">
        <v>164</v>
      </c>
      <c r="C177" s="241">
        <f t="shared" si="138"/>
        <v>47669</v>
      </c>
      <c r="D177" s="229">
        <f t="shared" si="140"/>
        <v>7</v>
      </c>
      <c r="E177" s="230" t="str">
        <f t="shared" si="141"/>
        <v>-</v>
      </c>
      <c r="F177" s="231">
        <f t="shared" si="142"/>
        <v>0</v>
      </c>
      <c r="G177" s="231">
        <f t="shared" si="143"/>
        <v>0</v>
      </c>
      <c r="H177" s="231">
        <f t="shared" si="144"/>
        <v>0</v>
      </c>
      <c r="I177" s="268">
        <f t="shared" si="129"/>
        <v>0</v>
      </c>
      <c r="J177" s="269">
        <f t="shared" si="145"/>
        <v>0</v>
      </c>
      <c r="K177" s="269">
        <f t="shared" si="146"/>
        <v>0</v>
      </c>
      <c r="L177" s="269">
        <f t="shared" si="130"/>
        <v>0</v>
      </c>
      <c r="M177" s="269">
        <f t="shared" si="131"/>
        <v>0</v>
      </c>
      <c r="N177" s="233">
        <f>VLOOKUP(B177,Dados!$L$86:$P$90,5)</f>
        <v>0</v>
      </c>
      <c r="O177" s="270">
        <f t="shared" si="147"/>
        <v>0.99999999999999989</v>
      </c>
      <c r="P177" s="269">
        <f t="shared" si="148"/>
        <v>0</v>
      </c>
      <c r="Q177" s="269" t="e">
        <f t="shared" si="149"/>
        <v>#DIV/0!</v>
      </c>
      <c r="R177" s="269">
        <f t="shared" si="150"/>
        <v>0</v>
      </c>
      <c r="S177" s="269" t="e">
        <f t="shared" si="151"/>
        <v>#DIV/0!</v>
      </c>
      <c r="T177" s="269" t="e">
        <f t="shared" si="137"/>
        <v>#DIV/0!</v>
      </c>
      <c r="U177" s="234">
        <f t="shared" si="152"/>
        <v>0</v>
      </c>
      <c r="V177" s="232" t="e">
        <f t="shared" si="153"/>
        <v>#DIV/0!</v>
      </c>
      <c r="W177" s="269" t="e">
        <f t="shared" si="154"/>
        <v>#DIV/0!</v>
      </c>
      <c r="X177" s="235">
        <f t="shared" si="132"/>
        <v>0</v>
      </c>
      <c r="Y177" s="236">
        <f t="shared" si="155"/>
        <v>5</v>
      </c>
      <c r="Z177" s="236" t="e">
        <f t="shared" si="156"/>
        <v>#DIV/0!</v>
      </c>
      <c r="AA177" s="236">
        <f t="shared" si="157"/>
        <v>3</v>
      </c>
      <c r="AB177" s="236" t="e">
        <f t="shared" si="158"/>
        <v>#DIV/0!</v>
      </c>
      <c r="AC177" s="235">
        <f t="shared" si="159"/>
        <v>0</v>
      </c>
      <c r="AD177" s="235">
        <f t="shared" si="160"/>
        <v>0</v>
      </c>
      <c r="AE177" s="279">
        <f t="shared" si="161"/>
        <v>0</v>
      </c>
      <c r="AF177" s="232">
        <f t="shared" si="162"/>
        <v>0</v>
      </c>
      <c r="AG177" s="235">
        <f t="shared" si="163"/>
        <v>0</v>
      </c>
      <c r="AH177" s="269">
        <f t="shared" si="164"/>
        <v>0</v>
      </c>
      <c r="AI177" s="232">
        <f t="shared" si="165"/>
        <v>0</v>
      </c>
      <c r="AJ177" s="235">
        <f t="shared" si="166"/>
        <v>0</v>
      </c>
      <c r="AK177" s="269">
        <f t="shared" si="167"/>
        <v>0</v>
      </c>
      <c r="AL177" s="269">
        <f t="shared" si="133"/>
        <v>0</v>
      </c>
      <c r="AM177" s="281" t="e">
        <f>IF(B177&gt;=mpfo,pos*vvm*Dados!$E$122*(ntudv-SUM(U178:$U$301))-SUM($AM$13:AM176),0)</f>
        <v>#DIV/0!</v>
      </c>
      <c r="AN177" s="269" t="e">
        <f t="shared" si="168"/>
        <v>#DIV/0!</v>
      </c>
      <c r="AO177" s="232" t="e">
        <f t="shared" si="169"/>
        <v>#DIV/0!</v>
      </c>
      <c r="AP177" s="242" t="e">
        <f t="shared" si="170"/>
        <v>#DIV/0!</v>
      </c>
      <c r="AQ177" s="235" t="e">
        <f>IF(AP177+SUM($AQ$12:AQ176)&gt;=0,0,-AP177-SUM($AQ$12:AQ176))</f>
        <v>#DIV/0!</v>
      </c>
      <c r="AR177" s="235">
        <f>IF(SUM($N$13:N176)&gt;=pmo,IF(SUM(N176:$N$501)&gt;(1-pmo),B177,0),0)</f>
        <v>0</v>
      </c>
      <c r="AS177" s="235" t="e">
        <f>IF((SUM($U$13:$U176)/ntudv)&gt;=pmv,IF((SUM($U176:$U$501)/ntudv)&gt;(1-pmv),B177,0),0)</f>
        <v>#DIV/0!</v>
      </c>
      <c r="AT177" s="237" t="e">
        <f>IF(MAX(mmo,mmv)=mmo,IF(B177=AR177,(SUM(N$13:$N176)-pmo)/((1-VLOOKUP(MAX(mmo,mmv)-1,$B$13:$O$501,14))+(VLOOKUP(MAX(mmo,mmv)-1,$B$13:$O$501,14)-pmo)),N176/((1-VLOOKUP(MAX(mmo,mmv)-1,$B$13:$O$501,14)+(VLOOKUP(MAX(mmo,mmv)-1,$B$13:$O$501,14)-pmo)))),N176/(1-VLOOKUP(MAX(mmo,mmv)-2,$B$13:$O$501,14)))</f>
        <v>#DIV/0!</v>
      </c>
      <c r="AU177" s="101" t="e">
        <f t="shared" si="134"/>
        <v>#DIV/0!</v>
      </c>
      <c r="AV177" s="287" t="e">
        <f t="shared" si="135"/>
        <v>#DIV/0!</v>
      </c>
      <c r="AW177" s="235" t="e">
        <f t="shared" si="171"/>
        <v>#DIV/0!</v>
      </c>
      <c r="AX177" s="281">
        <f>IF(B177&gt;mpfo,0,IF(B177=mpfo,(vld-teo*(1+tcfo-incc)^(MAX(mmo,mmv)-mbfo))*-1,IF(SUM($N$13:N176)&gt;=pmo,IF(($V176/ntudv)&gt;=pmv,IF(B177=MAX(mmo,mmv),-teo*(1+tcfo-incc)^(B177-mbfo),0),0),0)))</f>
        <v>0</v>
      </c>
      <c r="AY177" s="292" t="e">
        <f t="shared" si="136"/>
        <v>#DIV/0!</v>
      </c>
      <c r="AZ177" s="235" t="e">
        <f t="shared" si="172"/>
        <v>#DIV/0!</v>
      </c>
      <c r="BA177" s="269" t="e">
        <f t="shared" si="173"/>
        <v>#DIV/0!</v>
      </c>
      <c r="BB177" s="292" t="e">
        <f t="shared" si="174"/>
        <v>#DIV/0!</v>
      </c>
      <c r="BC177" s="238" t="e">
        <f>IF(SUM($BC$13:BC176)&gt;0,0,IF(BB177&gt;0,B177,0))</f>
        <v>#DIV/0!</v>
      </c>
      <c r="BD177" s="292" t="e">
        <f>IF(BB177+SUM($BD$12:BD176)&gt;=0,0,-BB177-SUM($BD$12:BD176))</f>
        <v>#DIV/0!</v>
      </c>
      <c r="BE177" s="235" t="e">
        <f>BB177+SUM($BD$12:BD177)</f>
        <v>#DIV/0!</v>
      </c>
      <c r="BF177" s="292" t="e">
        <f>-MIN(BE177:$BE$501)-SUM(BF$12:$BF176)</f>
        <v>#DIV/0!</v>
      </c>
      <c r="BG177" s="235" t="e">
        <f t="shared" si="139"/>
        <v>#DIV/0!</v>
      </c>
    </row>
    <row r="178" spans="2:59">
      <c r="B178" s="246">
        <v>165</v>
      </c>
      <c r="C178" s="241">
        <f t="shared" si="138"/>
        <v>47700</v>
      </c>
      <c r="D178" s="229">
        <f t="shared" si="140"/>
        <v>8</v>
      </c>
      <c r="E178" s="230" t="str">
        <f t="shared" si="141"/>
        <v>-</v>
      </c>
      <c r="F178" s="231">
        <f t="shared" si="142"/>
        <v>0</v>
      </c>
      <c r="G178" s="231">
        <f t="shared" si="143"/>
        <v>0</v>
      </c>
      <c r="H178" s="231">
        <f t="shared" si="144"/>
        <v>0</v>
      </c>
      <c r="I178" s="268">
        <f t="shared" si="129"/>
        <v>0</v>
      </c>
      <c r="J178" s="269">
        <f t="shared" si="145"/>
        <v>0</v>
      </c>
      <c r="K178" s="269">
        <f t="shared" si="146"/>
        <v>0</v>
      </c>
      <c r="L178" s="269">
        <f t="shared" si="130"/>
        <v>0</v>
      </c>
      <c r="M178" s="269">
        <f t="shared" si="131"/>
        <v>0</v>
      </c>
      <c r="N178" s="233">
        <f>VLOOKUP(B178,Dados!$L$86:$P$90,5)</f>
        <v>0</v>
      </c>
      <c r="O178" s="270">
        <f t="shared" si="147"/>
        <v>0.99999999999999989</v>
      </c>
      <c r="P178" s="269">
        <f t="shared" si="148"/>
        <v>0</v>
      </c>
      <c r="Q178" s="269" t="e">
        <f t="shared" si="149"/>
        <v>#DIV/0!</v>
      </c>
      <c r="R178" s="269">
        <f t="shared" si="150"/>
        <v>0</v>
      </c>
      <c r="S178" s="269" t="e">
        <f t="shared" si="151"/>
        <v>#DIV/0!</v>
      </c>
      <c r="T178" s="269" t="e">
        <f t="shared" si="137"/>
        <v>#DIV/0!</v>
      </c>
      <c r="U178" s="234">
        <f t="shared" si="152"/>
        <v>0</v>
      </c>
      <c r="V178" s="232" t="e">
        <f t="shared" si="153"/>
        <v>#DIV/0!</v>
      </c>
      <c r="W178" s="269" t="e">
        <f t="shared" si="154"/>
        <v>#DIV/0!</v>
      </c>
      <c r="X178" s="235">
        <f t="shared" si="132"/>
        <v>0</v>
      </c>
      <c r="Y178" s="236">
        <f t="shared" si="155"/>
        <v>5</v>
      </c>
      <c r="Z178" s="236" t="e">
        <f t="shared" si="156"/>
        <v>#DIV/0!</v>
      </c>
      <c r="AA178" s="236">
        <f t="shared" si="157"/>
        <v>3</v>
      </c>
      <c r="AB178" s="236" t="e">
        <f t="shared" si="158"/>
        <v>#DIV/0!</v>
      </c>
      <c r="AC178" s="235">
        <f t="shared" si="159"/>
        <v>0</v>
      </c>
      <c r="AD178" s="235">
        <f t="shared" si="160"/>
        <v>0</v>
      </c>
      <c r="AE178" s="279">
        <f t="shared" si="161"/>
        <v>0</v>
      </c>
      <c r="AF178" s="232">
        <f t="shared" si="162"/>
        <v>0</v>
      </c>
      <c r="AG178" s="235">
        <f t="shared" si="163"/>
        <v>0</v>
      </c>
      <c r="AH178" s="269">
        <f t="shared" si="164"/>
        <v>0</v>
      </c>
      <c r="AI178" s="232">
        <f t="shared" si="165"/>
        <v>0</v>
      </c>
      <c r="AJ178" s="235">
        <f t="shared" si="166"/>
        <v>0</v>
      </c>
      <c r="AK178" s="269">
        <f t="shared" si="167"/>
        <v>0</v>
      </c>
      <c r="AL178" s="269">
        <f t="shared" si="133"/>
        <v>0</v>
      </c>
      <c r="AM178" s="281" t="e">
        <f>IF(B178&gt;=mpfo,pos*vvm*Dados!$E$122*(ntudv-SUM(U179:$U$301))-SUM($AM$13:AM177),0)</f>
        <v>#DIV/0!</v>
      </c>
      <c r="AN178" s="269" t="e">
        <f t="shared" si="168"/>
        <v>#DIV/0!</v>
      </c>
      <c r="AO178" s="232" t="e">
        <f t="shared" si="169"/>
        <v>#DIV/0!</v>
      </c>
      <c r="AP178" s="242" t="e">
        <f t="shared" si="170"/>
        <v>#DIV/0!</v>
      </c>
      <c r="AQ178" s="235" t="e">
        <f>IF(AP178+SUM($AQ$12:AQ177)&gt;=0,0,-AP178-SUM($AQ$12:AQ177))</f>
        <v>#DIV/0!</v>
      </c>
      <c r="AR178" s="235">
        <f>IF(SUM($N$13:N177)&gt;=pmo,IF(SUM(N177:$N$501)&gt;(1-pmo),B178,0),0)</f>
        <v>0</v>
      </c>
      <c r="AS178" s="235" t="e">
        <f>IF((SUM($U$13:$U177)/ntudv)&gt;=pmv,IF((SUM($U177:$U$501)/ntudv)&gt;(1-pmv),B178,0),0)</f>
        <v>#DIV/0!</v>
      </c>
      <c r="AT178" s="237" t="e">
        <f>IF(MAX(mmo,mmv)=mmo,IF(B178=AR178,(SUM(N$13:$N177)-pmo)/((1-VLOOKUP(MAX(mmo,mmv)-1,$B$13:$O$501,14))+(VLOOKUP(MAX(mmo,mmv)-1,$B$13:$O$501,14)-pmo)),N177/((1-VLOOKUP(MAX(mmo,mmv)-1,$B$13:$O$501,14)+(VLOOKUP(MAX(mmo,mmv)-1,$B$13:$O$501,14)-pmo)))),N177/(1-VLOOKUP(MAX(mmo,mmv)-2,$B$13:$O$501,14)))</f>
        <v>#DIV/0!</v>
      </c>
      <c r="AU178" s="101" t="e">
        <f t="shared" si="134"/>
        <v>#DIV/0!</v>
      </c>
      <c r="AV178" s="287" t="e">
        <f t="shared" si="135"/>
        <v>#DIV/0!</v>
      </c>
      <c r="AW178" s="235" t="e">
        <f t="shared" si="171"/>
        <v>#DIV/0!</v>
      </c>
      <c r="AX178" s="281">
        <f>IF(B178&gt;mpfo,0,IF(B178=mpfo,(vld-teo*(1+tcfo-incc)^(MAX(mmo,mmv)-mbfo))*-1,IF(SUM($N$13:N177)&gt;=pmo,IF(($V177/ntudv)&gt;=pmv,IF(B178=MAX(mmo,mmv),-teo*(1+tcfo-incc)^(B178-mbfo),0),0),0)))</f>
        <v>0</v>
      </c>
      <c r="AY178" s="292" t="e">
        <f t="shared" si="136"/>
        <v>#DIV/0!</v>
      </c>
      <c r="AZ178" s="235" t="e">
        <f t="shared" si="172"/>
        <v>#DIV/0!</v>
      </c>
      <c r="BA178" s="269" t="e">
        <f t="shared" si="173"/>
        <v>#DIV/0!</v>
      </c>
      <c r="BB178" s="292" t="e">
        <f t="shared" si="174"/>
        <v>#DIV/0!</v>
      </c>
      <c r="BC178" s="238" t="e">
        <f>IF(SUM($BC$13:BC177)&gt;0,0,IF(BB178&gt;0,B178,0))</f>
        <v>#DIV/0!</v>
      </c>
      <c r="BD178" s="292" t="e">
        <f>IF(BB178+SUM($BD$12:BD177)&gt;=0,0,-BB178-SUM($BD$12:BD177))</f>
        <v>#DIV/0!</v>
      </c>
      <c r="BE178" s="235" t="e">
        <f>BB178+SUM($BD$12:BD178)</f>
        <v>#DIV/0!</v>
      </c>
      <c r="BF178" s="292" t="e">
        <f>-MIN(BE178:$BE$501)-SUM(BF$12:$BF177)</f>
        <v>#DIV/0!</v>
      </c>
      <c r="BG178" s="235" t="e">
        <f t="shared" si="139"/>
        <v>#DIV/0!</v>
      </c>
    </row>
    <row r="179" spans="2:59">
      <c r="B179" s="120">
        <v>166</v>
      </c>
      <c r="C179" s="241">
        <f t="shared" si="138"/>
        <v>47731</v>
      </c>
      <c r="D179" s="229">
        <f t="shared" si="140"/>
        <v>9</v>
      </c>
      <c r="E179" s="230" t="str">
        <f t="shared" si="141"/>
        <v>-</v>
      </c>
      <c r="F179" s="231">
        <f t="shared" si="142"/>
        <v>0</v>
      </c>
      <c r="G179" s="231">
        <f t="shared" si="143"/>
        <v>0</v>
      </c>
      <c r="H179" s="231">
        <f t="shared" si="144"/>
        <v>0</v>
      </c>
      <c r="I179" s="268">
        <f t="shared" si="129"/>
        <v>0</v>
      </c>
      <c r="J179" s="269">
        <f t="shared" si="145"/>
        <v>0</v>
      </c>
      <c r="K179" s="269">
        <f t="shared" si="146"/>
        <v>0</v>
      </c>
      <c r="L179" s="269">
        <f t="shared" si="130"/>
        <v>0</v>
      </c>
      <c r="M179" s="269">
        <f t="shared" si="131"/>
        <v>0</v>
      </c>
      <c r="N179" s="233">
        <f>VLOOKUP(B179,Dados!$L$86:$P$90,5)</f>
        <v>0</v>
      </c>
      <c r="O179" s="270">
        <f t="shared" si="147"/>
        <v>0.99999999999999989</v>
      </c>
      <c r="P179" s="269">
        <f t="shared" si="148"/>
        <v>0</v>
      </c>
      <c r="Q179" s="269" t="e">
        <f t="shared" si="149"/>
        <v>#DIV/0!</v>
      </c>
      <c r="R179" s="269">
        <f t="shared" si="150"/>
        <v>0</v>
      </c>
      <c r="S179" s="269" t="e">
        <f t="shared" si="151"/>
        <v>#DIV/0!</v>
      </c>
      <c r="T179" s="269" t="e">
        <f t="shared" si="137"/>
        <v>#DIV/0!</v>
      </c>
      <c r="U179" s="234">
        <f t="shared" si="152"/>
        <v>0</v>
      </c>
      <c r="V179" s="232" t="e">
        <f t="shared" si="153"/>
        <v>#DIV/0!</v>
      </c>
      <c r="W179" s="269" t="e">
        <f t="shared" si="154"/>
        <v>#DIV/0!</v>
      </c>
      <c r="X179" s="235">
        <f t="shared" si="132"/>
        <v>0</v>
      </c>
      <c r="Y179" s="236">
        <f t="shared" si="155"/>
        <v>5</v>
      </c>
      <c r="Z179" s="236" t="e">
        <f t="shared" si="156"/>
        <v>#DIV/0!</v>
      </c>
      <c r="AA179" s="236">
        <f t="shared" si="157"/>
        <v>3</v>
      </c>
      <c r="AB179" s="236" t="e">
        <f t="shared" si="158"/>
        <v>#DIV/0!</v>
      </c>
      <c r="AC179" s="235">
        <f t="shared" si="159"/>
        <v>0</v>
      </c>
      <c r="AD179" s="235">
        <f t="shared" si="160"/>
        <v>0</v>
      </c>
      <c r="AE179" s="279">
        <f t="shared" si="161"/>
        <v>0</v>
      </c>
      <c r="AF179" s="232">
        <f t="shared" si="162"/>
        <v>0</v>
      </c>
      <c r="AG179" s="235">
        <f t="shared" si="163"/>
        <v>0</v>
      </c>
      <c r="AH179" s="269">
        <f t="shared" si="164"/>
        <v>0</v>
      </c>
      <c r="AI179" s="232">
        <f t="shared" si="165"/>
        <v>0</v>
      </c>
      <c r="AJ179" s="235">
        <f t="shared" si="166"/>
        <v>0</v>
      </c>
      <c r="AK179" s="269">
        <f t="shared" si="167"/>
        <v>0</v>
      </c>
      <c r="AL179" s="269">
        <f t="shared" si="133"/>
        <v>0</v>
      </c>
      <c r="AM179" s="281" t="e">
        <f>IF(B179&gt;=mpfo,pos*vvm*Dados!$E$122*(ntudv-SUM(U180:$U$301))-SUM($AM$13:AM178),0)</f>
        <v>#DIV/0!</v>
      </c>
      <c r="AN179" s="269" t="e">
        <f t="shared" si="168"/>
        <v>#DIV/0!</v>
      </c>
      <c r="AO179" s="232" t="e">
        <f t="shared" si="169"/>
        <v>#DIV/0!</v>
      </c>
      <c r="AP179" s="242" t="e">
        <f t="shared" si="170"/>
        <v>#DIV/0!</v>
      </c>
      <c r="AQ179" s="235" t="e">
        <f>IF(AP179+SUM($AQ$12:AQ178)&gt;=0,0,-AP179-SUM($AQ$12:AQ178))</f>
        <v>#DIV/0!</v>
      </c>
      <c r="AR179" s="235">
        <f>IF(SUM($N$13:N178)&gt;=pmo,IF(SUM(N178:$N$501)&gt;(1-pmo),B179,0),0)</f>
        <v>0</v>
      </c>
      <c r="AS179" s="235" t="e">
        <f>IF((SUM($U$13:$U178)/ntudv)&gt;=pmv,IF((SUM($U178:$U$501)/ntudv)&gt;(1-pmv),B179,0),0)</f>
        <v>#DIV/0!</v>
      </c>
      <c r="AT179" s="237" t="e">
        <f>IF(MAX(mmo,mmv)=mmo,IF(B179=AR179,(SUM(N$13:$N178)-pmo)/((1-VLOOKUP(MAX(mmo,mmv)-1,$B$13:$O$501,14))+(VLOOKUP(MAX(mmo,mmv)-1,$B$13:$O$501,14)-pmo)),N178/((1-VLOOKUP(MAX(mmo,mmv)-1,$B$13:$O$501,14)+(VLOOKUP(MAX(mmo,mmv)-1,$B$13:$O$501,14)-pmo)))),N178/(1-VLOOKUP(MAX(mmo,mmv)-2,$B$13:$O$501,14)))</f>
        <v>#DIV/0!</v>
      </c>
      <c r="AU179" s="101" t="e">
        <f t="shared" si="134"/>
        <v>#DIV/0!</v>
      </c>
      <c r="AV179" s="287" t="e">
        <f t="shared" si="135"/>
        <v>#DIV/0!</v>
      </c>
      <c r="AW179" s="235" t="e">
        <f t="shared" si="171"/>
        <v>#DIV/0!</v>
      </c>
      <c r="AX179" s="281">
        <f>IF(B179&gt;mpfo,0,IF(B179=mpfo,(vld-teo*(1+tcfo-incc)^(MAX(mmo,mmv)-mbfo))*-1,IF(SUM($N$13:N178)&gt;=pmo,IF(($V178/ntudv)&gt;=pmv,IF(B179=MAX(mmo,mmv),-teo*(1+tcfo-incc)^(B179-mbfo),0),0),0)))</f>
        <v>0</v>
      </c>
      <c r="AY179" s="292" t="e">
        <f t="shared" si="136"/>
        <v>#DIV/0!</v>
      </c>
      <c r="AZ179" s="235" t="e">
        <f t="shared" si="172"/>
        <v>#DIV/0!</v>
      </c>
      <c r="BA179" s="269" t="e">
        <f t="shared" si="173"/>
        <v>#DIV/0!</v>
      </c>
      <c r="BB179" s="292" t="e">
        <f t="shared" si="174"/>
        <v>#DIV/0!</v>
      </c>
      <c r="BC179" s="238" t="e">
        <f>IF(SUM($BC$13:BC178)&gt;0,0,IF(BB179&gt;0,B179,0))</f>
        <v>#DIV/0!</v>
      </c>
      <c r="BD179" s="292" t="e">
        <f>IF(BB179+SUM($BD$12:BD178)&gt;=0,0,-BB179-SUM($BD$12:BD178))</f>
        <v>#DIV/0!</v>
      </c>
      <c r="BE179" s="235" t="e">
        <f>BB179+SUM($BD$12:BD179)</f>
        <v>#DIV/0!</v>
      </c>
      <c r="BF179" s="292" t="e">
        <f>-MIN(BE179:$BE$501)-SUM(BF$12:$BF178)</f>
        <v>#DIV/0!</v>
      </c>
      <c r="BG179" s="235" t="e">
        <f t="shared" si="139"/>
        <v>#DIV/0!</v>
      </c>
    </row>
    <row r="180" spans="2:59">
      <c r="B180" s="246">
        <v>167</v>
      </c>
      <c r="C180" s="241">
        <f t="shared" si="138"/>
        <v>47761</v>
      </c>
      <c r="D180" s="229">
        <f t="shared" si="140"/>
        <v>10</v>
      </c>
      <c r="E180" s="230" t="str">
        <f t="shared" si="141"/>
        <v>-</v>
      </c>
      <c r="F180" s="231">
        <f t="shared" si="142"/>
        <v>0</v>
      </c>
      <c r="G180" s="231">
        <f t="shared" si="143"/>
        <v>0</v>
      </c>
      <c r="H180" s="231">
        <f t="shared" si="144"/>
        <v>0</v>
      </c>
      <c r="I180" s="268">
        <f t="shared" si="129"/>
        <v>0</v>
      </c>
      <c r="J180" s="269">
        <f t="shared" si="145"/>
        <v>0</v>
      </c>
      <c r="K180" s="269">
        <f t="shared" si="146"/>
        <v>0</v>
      </c>
      <c r="L180" s="269">
        <f t="shared" si="130"/>
        <v>0</v>
      </c>
      <c r="M180" s="269">
        <f t="shared" si="131"/>
        <v>0</v>
      </c>
      <c r="N180" s="233">
        <f>VLOOKUP(B180,Dados!$L$86:$P$90,5)</f>
        <v>0</v>
      </c>
      <c r="O180" s="270">
        <f t="shared" si="147"/>
        <v>0.99999999999999989</v>
      </c>
      <c r="P180" s="269">
        <f t="shared" si="148"/>
        <v>0</v>
      </c>
      <c r="Q180" s="269" t="e">
        <f t="shared" si="149"/>
        <v>#DIV/0!</v>
      </c>
      <c r="R180" s="269">
        <f t="shared" si="150"/>
        <v>0</v>
      </c>
      <c r="S180" s="269" t="e">
        <f t="shared" si="151"/>
        <v>#DIV/0!</v>
      </c>
      <c r="T180" s="269" t="e">
        <f t="shared" si="137"/>
        <v>#DIV/0!</v>
      </c>
      <c r="U180" s="234">
        <f t="shared" si="152"/>
        <v>0</v>
      </c>
      <c r="V180" s="232" t="e">
        <f t="shared" si="153"/>
        <v>#DIV/0!</v>
      </c>
      <c r="W180" s="269" t="e">
        <f t="shared" si="154"/>
        <v>#DIV/0!</v>
      </c>
      <c r="X180" s="235">
        <f t="shared" si="132"/>
        <v>0</v>
      </c>
      <c r="Y180" s="236">
        <f t="shared" si="155"/>
        <v>5</v>
      </c>
      <c r="Z180" s="236" t="e">
        <f t="shared" si="156"/>
        <v>#DIV/0!</v>
      </c>
      <c r="AA180" s="236">
        <f t="shared" si="157"/>
        <v>3</v>
      </c>
      <c r="AB180" s="236" t="e">
        <f t="shared" si="158"/>
        <v>#DIV/0!</v>
      </c>
      <c r="AC180" s="235">
        <f t="shared" si="159"/>
        <v>0</v>
      </c>
      <c r="AD180" s="235">
        <f t="shared" si="160"/>
        <v>0</v>
      </c>
      <c r="AE180" s="279">
        <f t="shared" si="161"/>
        <v>0</v>
      </c>
      <c r="AF180" s="232">
        <f t="shared" si="162"/>
        <v>0</v>
      </c>
      <c r="AG180" s="235">
        <f t="shared" si="163"/>
        <v>0</v>
      </c>
      <c r="AH180" s="269">
        <f t="shared" si="164"/>
        <v>0</v>
      </c>
      <c r="AI180" s="232">
        <f t="shared" si="165"/>
        <v>0</v>
      </c>
      <c r="AJ180" s="235">
        <f t="shared" si="166"/>
        <v>0</v>
      </c>
      <c r="AK180" s="269">
        <f t="shared" si="167"/>
        <v>0</v>
      </c>
      <c r="AL180" s="269">
        <f t="shared" si="133"/>
        <v>0</v>
      </c>
      <c r="AM180" s="281" t="e">
        <f>IF(B180&gt;=mpfo,pos*vvm*Dados!$E$122*(ntudv-SUM(U181:$U$301))-SUM($AM$13:AM179),0)</f>
        <v>#DIV/0!</v>
      </c>
      <c r="AN180" s="269" t="e">
        <f t="shared" si="168"/>
        <v>#DIV/0!</v>
      </c>
      <c r="AO180" s="232" t="e">
        <f t="shared" si="169"/>
        <v>#DIV/0!</v>
      </c>
      <c r="AP180" s="242" t="e">
        <f t="shared" si="170"/>
        <v>#DIV/0!</v>
      </c>
      <c r="AQ180" s="235" t="e">
        <f>IF(AP180+SUM($AQ$12:AQ179)&gt;=0,0,-AP180-SUM($AQ$12:AQ179))</f>
        <v>#DIV/0!</v>
      </c>
      <c r="AR180" s="235">
        <f>IF(SUM($N$13:N179)&gt;=pmo,IF(SUM(N179:$N$501)&gt;(1-pmo),B180,0),0)</f>
        <v>0</v>
      </c>
      <c r="AS180" s="235" t="e">
        <f>IF((SUM($U$13:$U179)/ntudv)&gt;=pmv,IF((SUM($U179:$U$501)/ntudv)&gt;(1-pmv),B180,0),0)</f>
        <v>#DIV/0!</v>
      </c>
      <c r="AT180" s="237" t="e">
        <f>IF(MAX(mmo,mmv)=mmo,IF(B180=AR180,(SUM(N$13:$N179)-pmo)/((1-VLOOKUP(MAX(mmo,mmv)-1,$B$13:$O$501,14))+(VLOOKUP(MAX(mmo,mmv)-1,$B$13:$O$501,14)-pmo)),N179/((1-VLOOKUP(MAX(mmo,mmv)-1,$B$13:$O$501,14)+(VLOOKUP(MAX(mmo,mmv)-1,$B$13:$O$501,14)-pmo)))),N179/(1-VLOOKUP(MAX(mmo,mmv)-2,$B$13:$O$501,14)))</f>
        <v>#DIV/0!</v>
      </c>
      <c r="AU180" s="101" t="e">
        <f t="shared" si="134"/>
        <v>#DIV/0!</v>
      </c>
      <c r="AV180" s="287" t="e">
        <f t="shared" si="135"/>
        <v>#DIV/0!</v>
      </c>
      <c r="AW180" s="235" t="e">
        <f t="shared" si="171"/>
        <v>#DIV/0!</v>
      </c>
      <c r="AX180" s="281">
        <f>IF(B180&gt;mpfo,0,IF(B180=mpfo,(vld-teo*(1+tcfo-incc)^(MAX(mmo,mmv)-mbfo))*-1,IF(SUM($N$13:N179)&gt;=pmo,IF(($V179/ntudv)&gt;=pmv,IF(B180=MAX(mmo,mmv),-teo*(1+tcfo-incc)^(B180-mbfo),0),0),0)))</f>
        <v>0</v>
      </c>
      <c r="AY180" s="292" t="e">
        <f t="shared" si="136"/>
        <v>#DIV/0!</v>
      </c>
      <c r="AZ180" s="235" t="e">
        <f t="shared" si="172"/>
        <v>#DIV/0!</v>
      </c>
      <c r="BA180" s="269" t="e">
        <f t="shared" si="173"/>
        <v>#DIV/0!</v>
      </c>
      <c r="BB180" s="292" t="e">
        <f t="shared" si="174"/>
        <v>#DIV/0!</v>
      </c>
      <c r="BC180" s="238" t="e">
        <f>IF(SUM($BC$13:BC179)&gt;0,0,IF(BB180&gt;0,B180,0))</f>
        <v>#DIV/0!</v>
      </c>
      <c r="BD180" s="292" t="e">
        <f>IF(BB180+SUM($BD$12:BD179)&gt;=0,0,-BB180-SUM($BD$12:BD179))</f>
        <v>#DIV/0!</v>
      </c>
      <c r="BE180" s="235" t="e">
        <f>BB180+SUM($BD$12:BD180)</f>
        <v>#DIV/0!</v>
      </c>
      <c r="BF180" s="292" t="e">
        <f>-MIN(BE180:$BE$501)-SUM(BF$12:$BF179)</f>
        <v>#DIV/0!</v>
      </c>
      <c r="BG180" s="235" t="e">
        <f t="shared" si="139"/>
        <v>#DIV/0!</v>
      </c>
    </row>
    <row r="181" spans="2:59">
      <c r="B181" s="120">
        <v>168</v>
      </c>
      <c r="C181" s="241">
        <f t="shared" si="138"/>
        <v>47792</v>
      </c>
      <c r="D181" s="229">
        <f t="shared" si="140"/>
        <v>11</v>
      </c>
      <c r="E181" s="230" t="str">
        <f t="shared" si="141"/>
        <v>-</v>
      </c>
      <c r="F181" s="231">
        <f t="shared" si="142"/>
        <v>0</v>
      </c>
      <c r="G181" s="231">
        <f t="shared" si="143"/>
        <v>0</v>
      </c>
      <c r="H181" s="231">
        <f t="shared" si="144"/>
        <v>0</v>
      </c>
      <c r="I181" s="268">
        <f t="shared" si="129"/>
        <v>0</v>
      </c>
      <c r="J181" s="269">
        <f t="shared" si="145"/>
        <v>0</v>
      </c>
      <c r="K181" s="269">
        <f t="shared" si="146"/>
        <v>0</v>
      </c>
      <c r="L181" s="269">
        <f t="shared" si="130"/>
        <v>0</v>
      </c>
      <c r="M181" s="269">
        <f t="shared" si="131"/>
        <v>0</v>
      </c>
      <c r="N181" s="233">
        <f>VLOOKUP(B181,Dados!$L$86:$P$90,5)</f>
        <v>0</v>
      </c>
      <c r="O181" s="270">
        <f t="shared" si="147"/>
        <v>0.99999999999999989</v>
      </c>
      <c r="P181" s="269">
        <f t="shared" si="148"/>
        <v>0</v>
      </c>
      <c r="Q181" s="269" t="e">
        <f t="shared" si="149"/>
        <v>#DIV/0!</v>
      </c>
      <c r="R181" s="269">
        <f t="shared" si="150"/>
        <v>0</v>
      </c>
      <c r="S181" s="269" t="e">
        <f t="shared" si="151"/>
        <v>#DIV/0!</v>
      </c>
      <c r="T181" s="269" t="e">
        <f t="shared" si="137"/>
        <v>#DIV/0!</v>
      </c>
      <c r="U181" s="234">
        <f t="shared" si="152"/>
        <v>0</v>
      </c>
      <c r="V181" s="232" t="e">
        <f t="shared" si="153"/>
        <v>#DIV/0!</v>
      </c>
      <c r="W181" s="269" t="e">
        <f t="shared" si="154"/>
        <v>#DIV/0!</v>
      </c>
      <c r="X181" s="235">
        <f t="shared" si="132"/>
        <v>0</v>
      </c>
      <c r="Y181" s="236">
        <f t="shared" si="155"/>
        <v>5</v>
      </c>
      <c r="Z181" s="236" t="e">
        <f t="shared" si="156"/>
        <v>#DIV/0!</v>
      </c>
      <c r="AA181" s="236">
        <f t="shared" si="157"/>
        <v>3</v>
      </c>
      <c r="AB181" s="236" t="e">
        <f t="shared" si="158"/>
        <v>#DIV/0!</v>
      </c>
      <c r="AC181" s="235">
        <f t="shared" si="159"/>
        <v>0</v>
      </c>
      <c r="AD181" s="235">
        <f t="shared" si="160"/>
        <v>0</v>
      </c>
      <c r="AE181" s="279">
        <f t="shared" si="161"/>
        <v>0</v>
      </c>
      <c r="AF181" s="232">
        <f t="shared" si="162"/>
        <v>0</v>
      </c>
      <c r="AG181" s="235">
        <f t="shared" si="163"/>
        <v>0</v>
      </c>
      <c r="AH181" s="269">
        <f t="shared" si="164"/>
        <v>0</v>
      </c>
      <c r="AI181" s="232">
        <f t="shared" si="165"/>
        <v>0</v>
      </c>
      <c r="AJ181" s="235">
        <f t="shared" si="166"/>
        <v>0</v>
      </c>
      <c r="AK181" s="269">
        <f t="shared" si="167"/>
        <v>0</v>
      </c>
      <c r="AL181" s="269">
        <f t="shared" si="133"/>
        <v>0</v>
      </c>
      <c r="AM181" s="281" t="e">
        <f>IF(B181&gt;=mpfo,pos*vvm*Dados!$E$122*(ntudv-SUM(U182:$U$301))-SUM($AM$13:AM180),0)</f>
        <v>#DIV/0!</v>
      </c>
      <c r="AN181" s="269" t="e">
        <f t="shared" si="168"/>
        <v>#DIV/0!</v>
      </c>
      <c r="AO181" s="232" t="e">
        <f t="shared" si="169"/>
        <v>#DIV/0!</v>
      </c>
      <c r="AP181" s="242" t="e">
        <f t="shared" si="170"/>
        <v>#DIV/0!</v>
      </c>
      <c r="AQ181" s="235" t="e">
        <f>IF(AP181+SUM($AQ$12:AQ180)&gt;=0,0,-AP181-SUM($AQ$12:AQ180))</f>
        <v>#DIV/0!</v>
      </c>
      <c r="AR181" s="235">
        <f>IF(SUM($N$13:N180)&gt;=pmo,IF(SUM(N180:$N$501)&gt;(1-pmo),B181,0),0)</f>
        <v>0</v>
      </c>
      <c r="AS181" s="235" t="e">
        <f>IF((SUM($U$13:$U180)/ntudv)&gt;=pmv,IF((SUM($U180:$U$501)/ntudv)&gt;(1-pmv),B181,0),0)</f>
        <v>#DIV/0!</v>
      </c>
      <c r="AT181" s="237" t="e">
        <f>IF(MAX(mmo,mmv)=mmo,IF(B181=AR181,(SUM(N$13:$N180)-pmo)/((1-VLOOKUP(MAX(mmo,mmv)-1,$B$13:$O$501,14))+(VLOOKUP(MAX(mmo,mmv)-1,$B$13:$O$501,14)-pmo)),N180/((1-VLOOKUP(MAX(mmo,mmv)-1,$B$13:$O$501,14)+(VLOOKUP(MAX(mmo,mmv)-1,$B$13:$O$501,14)-pmo)))),N180/(1-VLOOKUP(MAX(mmo,mmv)-2,$B$13:$O$501,14)))</f>
        <v>#DIV/0!</v>
      </c>
      <c r="AU181" s="101" t="e">
        <f t="shared" si="134"/>
        <v>#DIV/0!</v>
      </c>
      <c r="AV181" s="287" t="e">
        <f t="shared" si="135"/>
        <v>#DIV/0!</v>
      </c>
      <c r="AW181" s="235" t="e">
        <f t="shared" si="171"/>
        <v>#DIV/0!</v>
      </c>
      <c r="AX181" s="281">
        <f>IF(B181&gt;mpfo,0,IF(B181=mpfo,(vld-teo*(1+tcfo-incc)^(MAX(mmo,mmv)-mbfo))*-1,IF(SUM($N$13:N180)&gt;=pmo,IF(($V180/ntudv)&gt;=pmv,IF(B181=MAX(mmo,mmv),-teo*(1+tcfo-incc)^(B181-mbfo),0),0),0)))</f>
        <v>0</v>
      </c>
      <c r="AY181" s="292" t="e">
        <f t="shared" si="136"/>
        <v>#DIV/0!</v>
      </c>
      <c r="AZ181" s="235" t="e">
        <f t="shared" si="172"/>
        <v>#DIV/0!</v>
      </c>
      <c r="BA181" s="269" t="e">
        <f t="shared" si="173"/>
        <v>#DIV/0!</v>
      </c>
      <c r="BB181" s="292" t="e">
        <f t="shared" si="174"/>
        <v>#DIV/0!</v>
      </c>
      <c r="BC181" s="238" t="e">
        <f>IF(SUM($BC$13:BC180)&gt;0,0,IF(BB181&gt;0,B181,0))</f>
        <v>#DIV/0!</v>
      </c>
      <c r="BD181" s="292" t="e">
        <f>IF(BB181+SUM($BD$12:BD180)&gt;=0,0,-BB181-SUM($BD$12:BD180))</f>
        <v>#DIV/0!</v>
      </c>
      <c r="BE181" s="235" t="e">
        <f>BB181+SUM($BD$12:BD181)</f>
        <v>#DIV/0!</v>
      </c>
      <c r="BF181" s="292" t="e">
        <f>-MIN(BE181:$BE$501)-SUM(BF$12:$BF180)</f>
        <v>#DIV/0!</v>
      </c>
      <c r="BG181" s="235" t="e">
        <f t="shared" si="139"/>
        <v>#DIV/0!</v>
      </c>
    </row>
    <row r="182" spans="2:59">
      <c r="B182" s="246">
        <v>169</v>
      </c>
      <c r="C182" s="241">
        <f t="shared" si="138"/>
        <v>47822</v>
      </c>
      <c r="D182" s="229">
        <f t="shared" si="140"/>
        <v>12</v>
      </c>
      <c r="E182" s="230" t="str">
        <f t="shared" si="141"/>
        <v>-</v>
      </c>
      <c r="F182" s="231">
        <f t="shared" si="142"/>
        <v>0</v>
      </c>
      <c r="G182" s="231">
        <f t="shared" si="143"/>
        <v>0</v>
      </c>
      <c r="H182" s="231">
        <f t="shared" si="144"/>
        <v>0</v>
      </c>
      <c r="I182" s="268">
        <f t="shared" si="129"/>
        <v>0</v>
      </c>
      <c r="J182" s="269">
        <f t="shared" si="145"/>
        <v>0</v>
      </c>
      <c r="K182" s="269">
        <f t="shared" si="146"/>
        <v>0</v>
      </c>
      <c r="L182" s="269">
        <f t="shared" si="130"/>
        <v>0</v>
      </c>
      <c r="M182" s="269">
        <f t="shared" si="131"/>
        <v>0</v>
      </c>
      <c r="N182" s="233">
        <f>VLOOKUP(B182,Dados!$L$86:$P$90,5)</f>
        <v>0</v>
      </c>
      <c r="O182" s="270">
        <f t="shared" si="147"/>
        <v>0.99999999999999989</v>
      </c>
      <c r="P182" s="269">
        <f t="shared" si="148"/>
        <v>0</v>
      </c>
      <c r="Q182" s="269" t="e">
        <f t="shared" si="149"/>
        <v>#DIV/0!</v>
      </c>
      <c r="R182" s="269">
        <f t="shared" si="150"/>
        <v>0</v>
      </c>
      <c r="S182" s="269" t="e">
        <f t="shared" si="151"/>
        <v>#DIV/0!</v>
      </c>
      <c r="T182" s="269" t="e">
        <f t="shared" si="137"/>
        <v>#DIV/0!</v>
      </c>
      <c r="U182" s="234">
        <f t="shared" si="152"/>
        <v>0</v>
      </c>
      <c r="V182" s="232" t="e">
        <f t="shared" si="153"/>
        <v>#DIV/0!</v>
      </c>
      <c r="W182" s="269" t="e">
        <f t="shared" si="154"/>
        <v>#DIV/0!</v>
      </c>
      <c r="X182" s="235">
        <f t="shared" si="132"/>
        <v>0</v>
      </c>
      <c r="Y182" s="236">
        <f t="shared" si="155"/>
        <v>5</v>
      </c>
      <c r="Z182" s="236" t="e">
        <f t="shared" si="156"/>
        <v>#DIV/0!</v>
      </c>
      <c r="AA182" s="236">
        <f t="shared" si="157"/>
        <v>3</v>
      </c>
      <c r="AB182" s="236" t="e">
        <f t="shared" si="158"/>
        <v>#DIV/0!</v>
      </c>
      <c r="AC182" s="235">
        <f t="shared" si="159"/>
        <v>0</v>
      </c>
      <c r="AD182" s="235">
        <f t="shared" si="160"/>
        <v>0</v>
      </c>
      <c r="AE182" s="279">
        <f t="shared" si="161"/>
        <v>0</v>
      </c>
      <c r="AF182" s="232">
        <f t="shared" si="162"/>
        <v>1</v>
      </c>
      <c r="AG182" s="235">
        <f t="shared" si="163"/>
        <v>0</v>
      </c>
      <c r="AH182" s="269">
        <f t="shared" si="164"/>
        <v>0</v>
      </c>
      <c r="AI182" s="232">
        <f t="shared" si="165"/>
        <v>1</v>
      </c>
      <c r="AJ182" s="235">
        <f t="shared" si="166"/>
        <v>0</v>
      </c>
      <c r="AK182" s="269">
        <f t="shared" si="167"/>
        <v>0</v>
      </c>
      <c r="AL182" s="269">
        <f t="shared" si="133"/>
        <v>0</v>
      </c>
      <c r="AM182" s="281" t="e">
        <f>IF(B182&gt;=mpfo,pos*vvm*Dados!$E$122*(ntudv-SUM(U183:$U$301))-SUM($AM$13:AM181),0)</f>
        <v>#DIV/0!</v>
      </c>
      <c r="AN182" s="269" t="e">
        <f t="shared" si="168"/>
        <v>#DIV/0!</v>
      </c>
      <c r="AO182" s="232" t="e">
        <f t="shared" si="169"/>
        <v>#DIV/0!</v>
      </c>
      <c r="AP182" s="242" t="e">
        <f t="shared" si="170"/>
        <v>#DIV/0!</v>
      </c>
      <c r="AQ182" s="235" t="e">
        <f>IF(AP182+SUM($AQ$12:AQ181)&gt;=0,0,-AP182-SUM($AQ$12:AQ181))</f>
        <v>#DIV/0!</v>
      </c>
      <c r="AR182" s="235">
        <f>IF(SUM($N$13:N181)&gt;=pmo,IF(SUM(N181:$N$501)&gt;(1-pmo),B182,0),0)</f>
        <v>0</v>
      </c>
      <c r="AS182" s="235" t="e">
        <f>IF((SUM($U$13:$U181)/ntudv)&gt;=pmv,IF((SUM($U181:$U$501)/ntudv)&gt;(1-pmv),B182,0),0)</f>
        <v>#DIV/0!</v>
      </c>
      <c r="AT182" s="237" t="e">
        <f>IF(MAX(mmo,mmv)=mmo,IF(B182=AR182,(SUM(N$13:$N181)-pmo)/((1-VLOOKUP(MAX(mmo,mmv)-1,$B$13:$O$501,14))+(VLOOKUP(MAX(mmo,mmv)-1,$B$13:$O$501,14)-pmo)),N181/((1-VLOOKUP(MAX(mmo,mmv)-1,$B$13:$O$501,14)+(VLOOKUP(MAX(mmo,mmv)-1,$B$13:$O$501,14)-pmo)))),N181/(1-VLOOKUP(MAX(mmo,mmv)-2,$B$13:$O$501,14)))</f>
        <v>#DIV/0!</v>
      </c>
      <c r="AU182" s="101" t="e">
        <f t="shared" si="134"/>
        <v>#DIV/0!</v>
      </c>
      <c r="AV182" s="287" t="e">
        <f t="shared" si="135"/>
        <v>#DIV/0!</v>
      </c>
      <c r="AW182" s="235" t="e">
        <f t="shared" si="171"/>
        <v>#DIV/0!</v>
      </c>
      <c r="AX182" s="281">
        <f>IF(B182&gt;mpfo,0,IF(B182=mpfo,(vld-teo*(1+tcfo-incc)^(MAX(mmo,mmv)-mbfo))*-1,IF(SUM($N$13:N181)&gt;=pmo,IF(($V181/ntudv)&gt;=pmv,IF(B182=MAX(mmo,mmv),-teo*(1+tcfo-incc)^(B182-mbfo),0),0),0)))</f>
        <v>0</v>
      </c>
      <c r="AY182" s="292" t="e">
        <f t="shared" si="136"/>
        <v>#DIV/0!</v>
      </c>
      <c r="AZ182" s="235" t="e">
        <f t="shared" si="172"/>
        <v>#DIV/0!</v>
      </c>
      <c r="BA182" s="269" t="e">
        <f t="shared" si="173"/>
        <v>#DIV/0!</v>
      </c>
      <c r="BB182" s="292" t="e">
        <f t="shared" si="174"/>
        <v>#DIV/0!</v>
      </c>
      <c r="BC182" s="238" t="e">
        <f>IF(SUM($BC$13:BC181)&gt;0,0,IF(BB182&gt;0,B182,0))</f>
        <v>#DIV/0!</v>
      </c>
      <c r="BD182" s="292" t="e">
        <f>IF(BB182+SUM($BD$12:BD181)&gt;=0,0,-BB182-SUM($BD$12:BD181))</f>
        <v>#DIV/0!</v>
      </c>
      <c r="BE182" s="235" t="e">
        <f>BB182+SUM($BD$12:BD182)</f>
        <v>#DIV/0!</v>
      </c>
      <c r="BF182" s="292" t="e">
        <f>-MIN(BE182:$BE$501)-SUM(BF$12:$BF181)</f>
        <v>#DIV/0!</v>
      </c>
      <c r="BG182" s="235" t="e">
        <f t="shared" si="139"/>
        <v>#DIV/0!</v>
      </c>
    </row>
    <row r="183" spans="2:59">
      <c r="B183" s="120">
        <v>170</v>
      </c>
      <c r="C183" s="241">
        <f t="shared" si="138"/>
        <v>47853</v>
      </c>
      <c r="D183" s="229">
        <f t="shared" si="140"/>
        <v>1</v>
      </c>
      <c r="E183" s="230" t="str">
        <f t="shared" si="141"/>
        <v>-</v>
      </c>
      <c r="F183" s="231">
        <f t="shared" si="142"/>
        <v>0</v>
      </c>
      <c r="G183" s="231">
        <f t="shared" si="143"/>
        <v>0</v>
      </c>
      <c r="H183" s="231">
        <f t="shared" si="144"/>
        <v>0</v>
      </c>
      <c r="I183" s="268">
        <f t="shared" si="129"/>
        <v>0</v>
      </c>
      <c r="J183" s="269">
        <f t="shared" si="145"/>
        <v>0</v>
      </c>
      <c r="K183" s="269">
        <f t="shared" si="146"/>
        <v>0</v>
      </c>
      <c r="L183" s="269">
        <f t="shared" si="130"/>
        <v>0</v>
      </c>
      <c r="M183" s="269">
        <f t="shared" si="131"/>
        <v>0</v>
      </c>
      <c r="N183" s="233">
        <f>VLOOKUP(B183,Dados!$L$86:$P$90,5)</f>
        <v>0</v>
      </c>
      <c r="O183" s="270">
        <f t="shared" si="147"/>
        <v>0.99999999999999989</v>
      </c>
      <c r="P183" s="269">
        <f t="shared" si="148"/>
        <v>0</v>
      </c>
      <c r="Q183" s="269" t="e">
        <f t="shared" si="149"/>
        <v>#DIV/0!</v>
      </c>
      <c r="R183" s="269">
        <f t="shared" si="150"/>
        <v>0</v>
      </c>
      <c r="S183" s="269" t="e">
        <f t="shared" si="151"/>
        <v>#DIV/0!</v>
      </c>
      <c r="T183" s="269" t="e">
        <f t="shared" si="137"/>
        <v>#DIV/0!</v>
      </c>
      <c r="U183" s="234">
        <f t="shared" si="152"/>
        <v>0</v>
      </c>
      <c r="V183" s="232" t="e">
        <f t="shared" si="153"/>
        <v>#DIV/0!</v>
      </c>
      <c r="W183" s="269" t="e">
        <f t="shared" si="154"/>
        <v>#DIV/0!</v>
      </c>
      <c r="X183" s="235">
        <f t="shared" si="132"/>
        <v>0</v>
      </c>
      <c r="Y183" s="236">
        <f t="shared" si="155"/>
        <v>5</v>
      </c>
      <c r="Z183" s="236" t="e">
        <f t="shared" si="156"/>
        <v>#DIV/0!</v>
      </c>
      <c r="AA183" s="236">
        <f t="shared" si="157"/>
        <v>3</v>
      </c>
      <c r="AB183" s="236" t="e">
        <f t="shared" si="158"/>
        <v>#DIV/0!</v>
      </c>
      <c r="AC183" s="235">
        <f t="shared" si="159"/>
        <v>0</v>
      </c>
      <c r="AD183" s="235">
        <f t="shared" si="160"/>
        <v>0</v>
      </c>
      <c r="AE183" s="279">
        <f t="shared" si="161"/>
        <v>0</v>
      </c>
      <c r="AF183" s="232">
        <f t="shared" si="162"/>
        <v>0</v>
      </c>
      <c r="AG183" s="235">
        <f t="shared" si="163"/>
        <v>0</v>
      </c>
      <c r="AH183" s="269">
        <f t="shared" si="164"/>
        <v>0</v>
      </c>
      <c r="AI183" s="232">
        <f t="shared" si="165"/>
        <v>0</v>
      </c>
      <c r="AJ183" s="235">
        <f t="shared" si="166"/>
        <v>0</v>
      </c>
      <c r="AK183" s="269">
        <f t="shared" si="167"/>
        <v>0</v>
      </c>
      <c r="AL183" s="269">
        <f t="shared" si="133"/>
        <v>0</v>
      </c>
      <c r="AM183" s="281" t="e">
        <f>IF(B183&gt;=mpfo,pos*vvm*Dados!$E$122*(ntudv-SUM(U184:$U$301))-SUM($AM$13:AM182),0)</f>
        <v>#DIV/0!</v>
      </c>
      <c r="AN183" s="269" t="e">
        <f t="shared" si="168"/>
        <v>#DIV/0!</v>
      </c>
      <c r="AO183" s="232" t="e">
        <f t="shared" si="169"/>
        <v>#DIV/0!</v>
      </c>
      <c r="AP183" s="242" t="e">
        <f t="shared" si="170"/>
        <v>#DIV/0!</v>
      </c>
      <c r="AQ183" s="235" t="e">
        <f>IF(AP183+SUM($AQ$12:AQ182)&gt;=0,0,-AP183-SUM($AQ$12:AQ182))</f>
        <v>#DIV/0!</v>
      </c>
      <c r="AR183" s="235">
        <f>IF(SUM($N$13:N182)&gt;=pmo,IF(SUM(N182:$N$501)&gt;(1-pmo),B183,0),0)</f>
        <v>0</v>
      </c>
      <c r="AS183" s="235" t="e">
        <f>IF((SUM($U$13:$U182)/ntudv)&gt;=pmv,IF((SUM($U182:$U$501)/ntudv)&gt;(1-pmv),B183,0),0)</f>
        <v>#DIV/0!</v>
      </c>
      <c r="AT183" s="237" t="e">
        <f>IF(MAX(mmo,mmv)=mmo,IF(B183=AR183,(SUM(N$13:$N182)-pmo)/((1-VLOOKUP(MAX(mmo,mmv)-1,$B$13:$O$501,14))+(VLOOKUP(MAX(mmo,mmv)-1,$B$13:$O$501,14)-pmo)),N182/((1-VLOOKUP(MAX(mmo,mmv)-1,$B$13:$O$501,14)+(VLOOKUP(MAX(mmo,mmv)-1,$B$13:$O$501,14)-pmo)))),N182/(1-VLOOKUP(MAX(mmo,mmv)-2,$B$13:$O$501,14)))</f>
        <v>#DIV/0!</v>
      </c>
      <c r="AU183" s="101" t="e">
        <f t="shared" si="134"/>
        <v>#DIV/0!</v>
      </c>
      <c r="AV183" s="287" t="e">
        <f t="shared" si="135"/>
        <v>#DIV/0!</v>
      </c>
      <c r="AW183" s="235" t="e">
        <f t="shared" si="171"/>
        <v>#DIV/0!</v>
      </c>
      <c r="AX183" s="281">
        <f>IF(B183&gt;mpfo,0,IF(B183=mpfo,(vld-teo*(1+tcfo-incc)^(MAX(mmo,mmv)-mbfo))*-1,IF(SUM($N$13:N182)&gt;=pmo,IF(($V182/ntudv)&gt;=pmv,IF(B183=MAX(mmo,mmv),-teo*(1+tcfo-incc)^(B183-mbfo),0),0),0)))</f>
        <v>0</v>
      </c>
      <c r="AY183" s="292" t="e">
        <f t="shared" si="136"/>
        <v>#DIV/0!</v>
      </c>
      <c r="AZ183" s="235" t="e">
        <f t="shared" si="172"/>
        <v>#DIV/0!</v>
      </c>
      <c r="BA183" s="269" t="e">
        <f t="shared" si="173"/>
        <v>#DIV/0!</v>
      </c>
      <c r="BB183" s="292" t="e">
        <f t="shared" si="174"/>
        <v>#DIV/0!</v>
      </c>
      <c r="BC183" s="238" t="e">
        <f>IF(SUM($BC$13:BC182)&gt;0,0,IF(BB183&gt;0,B183,0))</f>
        <v>#DIV/0!</v>
      </c>
      <c r="BD183" s="292" t="e">
        <f>IF(BB183+SUM($BD$12:BD182)&gt;=0,0,-BB183-SUM($BD$12:BD182))</f>
        <v>#DIV/0!</v>
      </c>
      <c r="BE183" s="235" t="e">
        <f>BB183+SUM($BD$12:BD183)</f>
        <v>#DIV/0!</v>
      </c>
      <c r="BF183" s="292" t="e">
        <f>-MIN(BE183:$BE$501)-SUM(BF$12:$BF182)</f>
        <v>#DIV/0!</v>
      </c>
      <c r="BG183" s="235" t="e">
        <f t="shared" si="139"/>
        <v>#DIV/0!</v>
      </c>
    </row>
    <row r="184" spans="2:59">
      <c r="B184" s="246">
        <v>171</v>
      </c>
      <c r="C184" s="241">
        <f t="shared" si="138"/>
        <v>47884</v>
      </c>
      <c r="D184" s="229">
        <f t="shared" si="140"/>
        <v>2</v>
      </c>
      <c r="E184" s="230" t="str">
        <f t="shared" si="141"/>
        <v>-</v>
      </c>
      <c r="F184" s="231">
        <f t="shared" si="142"/>
        <v>0</v>
      </c>
      <c r="G184" s="231">
        <f t="shared" si="143"/>
        <v>0</v>
      </c>
      <c r="H184" s="231">
        <f t="shared" si="144"/>
        <v>0</v>
      </c>
      <c r="I184" s="268">
        <f t="shared" si="129"/>
        <v>0</v>
      </c>
      <c r="J184" s="269">
        <f t="shared" si="145"/>
        <v>0</v>
      </c>
      <c r="K184" s="269">
        <f t="shared" si="146"/>
        <v>0</v>
      </c>
      <c r="L184" s="269">
        <f t="shared" si="130"/>
        <v>0</v>
      </c>
      <c r="M184" s="269">
        <f t="shared" si="131"/>
        <v>0</v>
      </c>
      <c r="N184" s="233">
        <f>VLOOKUP(B184,Dados!$L$86:$P$90,5)</f>
        <v>0</v>
      </c>
      <c r="O184" s="270">
        <f t="shared" si="147"/>
        <v>0.99999999999999989</v>
      </c>
      <c r="P184" s="269">
        <f t="shared" si="148"/>
        <v>0</v>
      </c>
      <c r="Q184" s="269" t="e">
        <f t="shared" si="149"/>
        <v>#DIV/0!</v>
      </c>
      <c r="R184" s="269">
        <f t="shared" si="150"/>
        <v>0</v>
      </c>
      <c r="S184" s="269" t="e">
        <f t="shared" si="151"/>
        <v>#DIV/0!</v>
      </c>
      <c r="T184" s="269" t="e">
        <f t="shared" si="137"/>
        <v>#DIV/0!</v>
      </c>
      <c r="U184" s="234">
        <f t="shared" si="152"/>
        <v>0</v>
      </c>
      <c r="V184" s="232" t="e">
        <f t="shared" si="153"/>
        <v>#DIV/0!</v>
      </c>
      <c r="W184" s="269" t="e">
        <f t="shared" si="154"/>
        <v>#DIV/0!</v>
      </c>
      <c r="X184" s="235">
        <f t="shared" si="132"/>
        <v>0</v>
      </c>
      <c r="Y184" s="236">
        <f t="shared" si="155"/>
        <v>5</v>
      </c>
      <c r="Z184" s="236" t="e">
        <f t="shared" si="156"/>
        <v>#DIV/0!</v>
      </c>
      <c r="AA184" s="236">
        <f t="shared" si="157"/>
        <v>3</v>
      </c>
      <c r="AB184" s="236" t="e">
        <f t="shared" si="158"/>
        <v>#DIV/0!</v>
      </c>
      <c r="AC184" s="235">
        <f t="shared" si="159"/>
        <v>0</v>
      </c>
      <c r="AD184" s="235">
        <f t="shared" si="160"/>
        <v>0</v>
      </c>
      <c r="AE184" s="279">
        <f t="shared" si="161"/>
        <v>0</v>
      </c>
      <c r="AF184" s="232">
        <f t="shared" si="162"/>
        <v>0</v>
      </c>
      <c r="AG184" s="235">
        <f t="shared" si="163"/>
        <v>0</v>
      </c>
      <c r="AH184" s="269">
        <f t="shared" si="164"/>
        <v>0</v>
      </c>
      <c r="AI184" s="232">
        <f t="shared" si="165"/>
        <v>0</v>
      </c>
      <c r="AJ184" s="235">
        <f t="shared" si="166"/>
        <v>0</v>
      </c>
      <c r="AK184" s="269">
        <f t="shared" si="167"/>
        <v>0</v>
      </c>
      <c r="AL184" s="269">
        <f t="shared" si="133"/>
        <v>0</v>
      </c>
      <c r="AM184" s="281" t="e">
        <f>IF(B184&gt;=mpfo,pos*vvm*Dados!$E$122*(ntudv-SUM(U185:$U$301))-SUM($AM$13:AM183),0)</f>
        <v>#DIV/0!</v>
      </c>
      <c r="AN184" s="269" t="e">
        <f t="shared" si="168"/>
        <v>#DIV/0!</v>
      </c>
      <c r="AO184" s="232" t="e">
        <f t="shared" si="169"/>
        <v>#DIV/0!</v>
      </c>
      <c r="AP184" s="242" t="e">
        <f t="shared" si="170"/>
        <v>#DIV/0!</v>
      </c>
      <c r="AQ184" s="235" t="e">
        <f>IF(AP184+SUM($AQ$12:AQ183)&gt;=0,0,-AP184-SUM($AQ$12:AQ183))</f>
        <v>#DIV/0!</v>
      </c>
      <c r="AR184" s="235">
        <f>IF(SUM($N$13:N183)&gt;=pmo,IF(SUM(N183:$N$501)&gt;(1-pmo),B184,0),0)</f>
        <v>0</v>
      </c>
      <c r="AS184" s="235" t="e">
        <f>IF((SUM($U$13:$U183)/ntudv)&gt;=pmv,IF((SUM($U183:$U$501)/ntudv)&gt;(1-pmv),B184,0),0)</f>
        <v>#DIV/0!</v>
      </c>
      <c r="AT184" s="237" t="e">
        <f>IF(MAX(mmo,mmv)=mmo,IF(B184=AR184,(SUM(N$13:$N183)-pmo)/((1-VLOOKUP(MAX(mmo,mmv)-1,$B$13:$O$501,14))+(VLOOKUP(MAX(mmo,mmv)-1,$B$13:$O$501,14)-pmo)),N183/((1-VLOOKUP(MAX(mmo,mmv)-1,$B$13:$O$501,14)+(VLOOKUP(MAX(mmo,mmv)-1,$B$13:$O$501,14)-pmo)))),N183/(1-VLOOKUP(MAX(mmo,mmv)-2,$B$13:$O$501,14)))</f>
        <v>#DIV/0!</v>
      </c>
      <c r="AU184" s="101" t="e">
        <f t="shared" si="134"/>
        <v>#DIV/0!</v>
      </c>
      <c r="AV184" s="287" t="e">
        <f t="shared" si="135"/>
        <v>#DIV/0!</v>
      </c>
      <c r="AW184" s="235" t="e">
        <f t="shared" si="171"/>
        <v>#DIV/0!</v>
      </c>
      <c r="AX184" s="281">
        <f>IF(B184&gt;mpfo,0,IF(B184=mpfo,(vld-teo*(1+tcfo-incc)^(MAX(mmo,mmv)-mbfo))*-1,IF(SUM($N$13:N183)&gt;=pmo,IF(($V183/ntudv)&gt;=pmv,IF(B184=MAX(mmo,mmv),-teo*(1+tcfo-incc)^(B184-mbfo),0),0),0)))</f>
        <v>0</v>
      </c>
      <c r="AY184" s="292" t="e">
        <f t="shared" si="136"/>
        <v>#DIV/0!</v>
      </c>
      <c r="AZ184" s="235" t="e">
        <f t="shared" si="172"/>
        <v>#DIV/0!</v>
      </c>
      <c r="BA184" s="269" t="e">
        <f t="shared" si="173"/>
        <v>#DIV/0!</v>
      </c>
      <c r="BB184" s="292" t="e">
        <f t="shared" si="174"/>
        <v>#DIV/0!</v>
      </c>
      <c r="BC184" s="238" t="e">
        <f>IF(SUM($BC$13:BC183)&gt;0,0,IF(BB184&gt;0,B184,0))</f>
        <v>#DIV/0!</v>
      </c>
      <c r="BD184" s="292" t="e">
        <f>IF(BB184+SUM($BD$12:BD183)&gt;=0,0,-BB184-SUM($BD$12:BD183))</f>
        <v>#DIV/0!</v>
      </c>
      <c r="BE184" s="235" t="e">
        <f>BB184+SUM($BD$12:BD184)</f>
        <v>#DIV/0!</v>
      </c>
      <c r="BF184" s="292" t="e">
        <f>-MIN(BE184:$BE$501)-SUM(BF$12:$BF183)</f>
        <v>#DIV/0!</v>
      </c>
      <c r="BG184" s="235" t="e">
        <f t="shared" si="139"/>
        <v>#DIV/0!</v>
      </c>
    </row>
    <row r="185" spans="2:59">
      <c r="B185" s="120">
        <v>172</v>
      </c>
      <c r="C185" s="241">
        <f t="shared" si="138"/>
        <v>47912</v>
      </c>
      <c r="D185" s="229">
        <f t="shared" si="140"/>
        <v>3</v>
      </c>
      <c r="E185" s="230" t="str">
        <f t="shared" si="141"/>
        <v>-</v>
      </c>
      <c r="F185" s="231">
        <f t="shared" si="142"/>
        <v>0</v>
      </c>
      <c r="G185" s="231">
        <f t="shared" si="143"/>
        <v>0</v>
      </c>
      <c r="H185" s="231">
        <f t="shared" si="144"/>
        <v>0</v>
      </c>
      <c r="I185" s="268">
        <f t="shared" si="129"/>
        <v>0</v>
      </c>
      <c r="J185" s="269">
        <f t="shared" si="145"/>
        <v>0</v>
      </c>
      <c r="K185" s="269">
        <f t="shared" si="146"/>
        <v>0</v>
      </c>
      <c r="L185" s="269">
        <f t="shared" si="130"/>
        <v>0</v>
      </c>
      <c r="M185" s="269">
        <f t="shared" si="131"/>
        <v>0</v>
      </c>
      <c r="N185" s="233">
        <f>VLOOKUP(B185,Dados!$L$86:$P$90,5)</f>
        <v>0</v>
      </c>
      <c r="O185" s="270">
        <f t="shared" si="147"/>
        <v>0.99999999999999989</v>
      </c>
      <c r="P185" s="269">
        <f t="shared" si="148"/>
        <v>0</v>
      </c>
      <c r="Q185" s="269" t="e">
        <f t="shared" si="149"/>
        <v>#DIV/0!</v>
      </c>
      <c r="R185" s="269">
        <f t="shared" si="150"/>
        <v>0</v>
      </c>
      <c r="S185" s="269" t="e">
        <f t="shared" si="151"/>
        <v>#DIV/0!</v>
      </c>
      <c r="T185" s="269" t="e">
        <f t="shared" si="137"/>
        <v>#DIV/0!</v>
      </c>
      <c r="U185" s="234">
        <f t="shared" si="152"/>
        <v>0</v>
      </c>
      <c r="V185" s="232" t="e">
        <f t="shared" si="153"/>
        <v>#DIV/0!</v>
      </c>
      <c r="W185" s="269" t="e">
        <f t="shared" si="154"/>
        <v>#DIV/0!</v>
      </c>
      <c r="X185" s="235">
        <f t="shared" si="132"/>
        <v>0</v>
      </c>
      <c r="Y185" s="236">
        <f t="shared" si="155"/>
        <v>5</v>
      </c>
      <c r="Z185" s="236" t="e">
        <f t="shared" si="156"/>
        <v>#DIV/0!</v>
      </c>
      <c r="AA185" s="236">
        <f t="shared" si="157"/>
        <v>3</v>
      </c>
      <c r="AB185" s="236" t="e">
        <f t="shared" si="158"/>
        <v>#DIV/0!</v>
      </c>
      <c r="AC185" s="235">
        <f t="shared" si="159"/>
        <v>0</v>
      </c>
      <c r="AD185" s="235">
        <f t="shared" si="160"/>
        <v>0</v>
      </c>
      <c r="AE185" s="279">
        <f t="shared" si="161"/>
        <v>0</v>
      </c>
      <c r="AF185" s="232">
        <f t="shared" si="162"/>
        <v>0</v>
      </c>
      <c r="AG185" s="235">
        <f t="shared" si="163"/>
        <v>0</v>
      </c>
      <c r="AH185" s="269">
        <f t="shared" si="164"/>
        <v>0</v>
      </c>
      <c r="AI185" s="232">
        <f t="shared" si="165"/>
        <v>0</v>
      </c>
      <c r="AJ185" s="235">
        <f t="shared" si="166"/>
        <v>0</v>
      </c>
      <c r="AK185" s="269">
        <f t="shared" si="167"/>
        <v>0</v>
      </c>
      <c r="AL185" s="269">
        <f t="shared" si="133"/>
        <v>0</v>
      </c>
      <c r="AM185" s="281" t="e">
        <f>IF(B185&gt;=mpfo,pos*vvm*Dados!$E$122*(ntudv-SUM(U186:$U$301))-SUM($AM$13:AM184),0)</f>
        <v>#DIV/0!</v>
      </c>
      <c r="AN185" s="269" t="e">
        <f t="shared" si="168"/>
        <v>#DIV/0!</v>
      </c>
      <c r="AO185" s="232" t="e">
        <f t="shared" si="169"/>
        <v>#DIV/0!</v>
      </c>
      <c r="AP185" s="242" t="e">
        <f t="shared" si="170"/>
        <v>#DIV/0!</v>
      </c>
      <c r="AQ185" s="235" t="e">
        <f>IF(AP185+SUM($AQ$12:AQ184)&gt;=0,0,-AP185-SUM($AQ$12:AQ184))</f>
        <v>#DIV/0!</v>
      </c>
      <c r="AR185" s="235">
        <f>IF(SUM($N$13:N184)&gt;=pmo,IF(SUM(N184:$N$501)&gt;(1-pmo),B185,0),0)</f>
        <v>0</v>
      </c>
      <c r="AS185" s="235" t="e">
        <f>IF((SUM($U$13:$U184)/ntudv)&gt;=pmv,IF((SUM($U184:$U$501)/ntudv)&gt;(1-pmv),B185,0),0)</f>
        <v>#DIV/0!</v>
      </c>
      <c r="AT185" s="237" t="e">
        <f>IF(MAX(mmo,mmv)=mmo,IF(B185=AR185,(SUM(N$13:$N184)-pmo)/((1-VLOOKUP(MAX(mmo,mmv)-1,$B$13:$O$501,14))+(VLOOKUP(MAX(mmo,mmv)-1,$B$13:$O$501,14)-pmo)),N184/((1-VLOOKUP(MAX(mmo,mmv)-1,$B$13:$O$501,14)+(VLOOKUP(MAX(mmo,mmv)-1,$B$13:$O$501,14)-pmo)))),N184/(1-VLOOKUP(MAX(mmo,mmv)-2,$B$13:$O$501,14)))</f>
        <v>#DIV/0!</v>
      </c>
      <c r="AU185" s="101" t="e">
        <f t="shared" si="134"/>
        <v>#DIV/0!</v>
      </c>
      <c r="AV185" s="287" t="e">
        <f t="shared" si="135"/>
        <v>#DIV/0!</v>
      </c>
      <c r="AW185" s="235" t="e">
        <f t="shared" si="171"/>
        <v>#DIV/0!</v>
      </c>
      <c r="AX185" s="281">
        <f>IF(B185&gt;mpfo,0,IF(B185=mpfo,(vld-teo*(1+tcfo-incc)^(MAX(mmo,mmv)-mbfo))*-1,IF(SUM($N$13:N184)&gt;=pmo,IF(($V184/ntudv)&gt;=pmv,IF(B185=MAX(mmo,mmv),-teo*(1+tcfo-incc)^(B185-mbfo),0),0),0)))</f>
        <v>0</v>
      </c>
      <c r="AY185" s="292" t="e">
        <f t="shared" si="136"/>
        <v>#DIV/0!</v>
      </c>
      <c r="AZ185" s="235" t="e">
        <f t="shared" si="172"/>
        <v>#DIV/0!</v>
      </c>
      <c r="BA185" s="269" t="e">
        <f t="shared" si="173"/>
        <v>#DIV/0!</v>
      </c>
      <c r="BB185" s="292" t="e">
        <f t="shared" si="174"/>
        <v>#DIV/0!</v>
      </c>
      <c r="BC185" s="238" t="e">
        <f>IF(SUM($BC$13:BC184)&gt;0,0,IF(BB185&gt;0,B185,0))</f>
        <v>#DIV/0!</v>
      </c>
      <c r="BD185" s="292" t="e">
        <f>IF(BB185+SUM($BD$12:BD184)&gt;=0,0,-BB185-SUM($BD$12:BD184))</f>
        <v>#DIV/0!</v>
      </c>
      <c r="BE185" s="235" t="e">
        <f>BB185+SUM($BD$12:BD185)</f>
        <v>#DIV/0!</v>
      </c>
      <c r="BF185" s="292" t="e">
        <f>-MIN(BE185:$BE$501)-SUM(BF$12:$BF184)</f>
        <v>#DIV/0!</v>
      </c>
      <c r="BG185" s="235" t="e">
        <f t="shared" si="139"/>
        <v>#DIV/0!</v>
      </c>
    </row>
    <row r="186" spans="2:59">
      <c r="B186" s="246">
        <v>173</v>
      </c>
      <c r="C186" s="241">
        <f t="shared" si="138"/>
        <v>47943</v>
      </c>
      <c r="D186" s="229">
        <f t="shared" si="140"/>
        <v>4</v>
      </c>
      <c r="E186" s="230" t="str">
        <f t="shared" si="141"/>
        <v>-</v>
      </c>
      <c r="F186" s="231">
        <f t="shared" si="142"/>
        <v>0</v>
      </c>
      <c r="G186" s="231">
        <f t="shared" si="143"/>
        <v>0</v>
      </c>
      <c r="H186" s="231">
        <f t="shared" si="144"/>
        <v>0</v>
      </c>
      <c r="I186" s="268">
        <f t="shared" si="129"/>
        <v>0</v>
      </c>
      <c r="J186" s="269">
        <f t="shared" si="145"/>
        <v>0</v>
      </c>
      <c r="K186" s="269">
        <f t="shared" si="146"/>
        <v>0</v>
      </c>
      <c r="L186" s="269">
        <f t="shared" si="130"/>
        <v>0</v>
      </c>
      <c r="M186" s="269">
        <f t="shared" si="131"/>
        <v>0</v>
      </c>
      <c r="N186" s="233">
        <f>VLOOKUP(B186,Dados!$L$86:$P$90,5)</f>
        <v>0</v>
      </c>
      <c r="O186" s="270">
        <f t="shared" si="147"/>
        <v>0.99999999999999989</v>
      </c>
      <c r="P186" s="269">
        <f t="shared" si="148"/>
        <v>0</v>
      </c>
      <c r="Q186" s="269" t="e">
        <f t="shared" si="149"/>
        <v>#DIV/0!</v>
      </c>
      <c r="R186" s="269">
        <f t="shared" si="150"/>
        <v>0</v>
      </c>
      <c r="S186" s="269" t="e">
        <f t="shared" si="151"/>
        <v>#DIV/0!</v>
      </c>
      <c r="T186" s="269" t="e">
        <f t="shared" si="137"/>
        <v>#DIV/0!</v>
      </c>
      <c r="U186" s="234">
        <f t="shared" si="152"/>
        <v>0</v>
      </c>
      <c r="V186" s="232" t="e">
        <f t="shared" si="153"/>
        <v>#DIV/0!</v>
      </c>
      <c r="W186" s="269" t="e">
        <f t="shared" si="154"/>
        <v>#DIV/0!</v>
      </c>
      <c r="X186" s="235">
        <f t="shared" si="132"/>
        <v>0</v>
      </c>
      <c r="Y186" s="236">
        <f t="shared" si="155"/>
        <v>5</v>
      </c>
      <c r="Z186" s="236" t="e">
        <f t="shared" si="156"/>
        <v>#DIV/0!</v>
      </c>
      <c r="AA186" s="236">
        <f t="shared" si="157"/>
        <v>3</v>
      </c>
      <c r="AB186" s="236" t="e">
        <f t="shared" si="158"/>
        <v>#DIV/0!</v>
      </c>
      <c r="AC186" s="235">
        <f t="shared" si="159"/>
        <v>0</v>
      </c>
      <c r="AD186" s="235">
        <f t="shared" si="160"/>
        <v>0</v>
      </c>
      <c r="AE186" s="279">
        <f t="shared" si="161"/>
        <v>0</v>
      </c>
      <c r="AF186" s="232">
        <f t="shared" si="162"/>
        <v>0</v>
      </c>
      <c r="AG186" s="235">
        <f t="shared" si="163"/>
        <v>0</v>
      </c>
      <c r="AH186" s="269">
        <f t="shared" si="164"/>
        <v>0</v>
      </c>
      <c r="AI186" s="232">
        <f t="shared" si="165"/>
        <v>0</v>
      </c>
      <c r="AJ186" s="235">
        <f t="shared" si="166"/>
        <v>0</v>
      </c>
      <c r="AK186" s="269">
        <f t="shared" si="167"/>
        <v>0</v>
      </c>
      <c r="AL186" s="269">
        <f t="shared" si="133"/>
        <v>0</v>
      </c>
      <c r="AM186" s="281" t="e">
        <f>IF(B186&gt;=mpfo,pos*vvm*Dados!$E$122*(ntudv-SUM(U187:$U$301))-SUM($AM$13:AM185),0)</f>
        <v>#DIV/0!</v>
      </c>
      <c r="AN186" s="269" t="e">
        <f t="shared" si="168"/>
        <v>#DIV/0!</v>
      </c>
      <c r="AO186" s="232" t="e">
        <f t="shared" si="169"/>
        <v>#DIV/0!</v>
      </c>
      <c r="AP186" s="242" t="e">
        <f t="shared" si="170"/>
        <v>#DIV/0!</v>
      </c>
      <c r="AQ186" s="235" t="e">
        <f>IF(AP186+SUM($AQ$12:AQ185)&gt;=0,0,-AP186-SUM($AQ$12:AQ185))</f>
        <v>#DIV/0!</v>
      </c>
      <c r="AR186" s="235">
        <f>IF(SUM($N$13:N185)&gt;=pmo,IF(SUM(N185:$N$501)&gt;(1-pmo),B186,0),0)</f>
        <v>0</v>
      </c>
      <c r="AS186" s="235" t="e">
        <f>IF((SUM($U$13:$U185)/ntudv)&gt;=pmv,IF((SUM($U185:$U$501)/ntudv)&gt;(1-pmv),B186,0),0)</f>
        <v>#DIV/0!</v>
      </c>
      <c r="AT186" s="237" t="e">
        <f>IF(MAX(mmo,mmv)=mmo,IF(B186=AR186,(SUM(N$13:$N185)-pmo)/((1-VLOOKUP(MAX(mmo,mmv)-1,$B$13:$O$501,14))+(VLOOKUP(MAX(mmo,mmv)-1,$B$13:$O$501,14)-pmo)),N185/((1-VLOOKUP(MAX(mmo,mmv)-1,$B$13:$O$501,14)+(VLOOKUP(MAX(mmo,mmv)-1,$B$13:$O$501,14)-pmo)))),N185/(1-VLOOKUP(MAX(mmo,mmv)-2,$B$13:$O$501,14)))</f>
        <v>#DIV/0!</v>
      </c>
      <c r="AU186" s="101" t="e">
        <f t="shared" si="134"/>
        <v>#DIV/0!</v>
      </c>
      <c r="AV186" s="287" t="e">
        <f t="shared" si="135"/>
        <v>#DIV/0!</v>
      </c>
      <c r="AW186" s="235" t="e">
        <f t="shared" si="171"/>
        <v>#DIV/0!</v>
      </c>
      <c r="AX186" s="281">
        <f>IF(B186&gt;mpfo,0,IF(B186=mpfo,(vld-teo*(1+tcfo-incc)^(MAX(mmo,mmv)-mbfo))*-1,IF(SUM($N$13:N185)&gt;=pmo,IF(($V185/ntudv)&gt;=pmv,IF(B186=MAX(mmo,mmv),-teo*(1+tcfo-incc)^(B186-mbfo),0),0),0)))</f>
        <v>0</v>
      </c>
      <c r="AY186" s="292" t="e">
        <f t="shared" si="136"/>
        <v>#DIV/0!</v>
      </c>
      <c r="AZ186" s="235" t="e">
        <f t="shared" si="172"/>
        <v>#DIV/0!</v>
      </c>
      <c r="BA186" s="269" t="e">
        <f t="shared" si="173"/>
        <v>#DIV/0!</v>
      </c>
      <c r="BB186" s="292" t="e">
        <f t="shared" si="174"/>
        <v>#DIV/0!</v>
      </c>
      <c r="BC186" s="238" t="e">
        <f>IF(SUM($BC$13:BC185)&gt;0,0,IF(BB186&gt;0,B186,0))</f>
        <v>#DIV/0!</v>
      </c>
      <c r="BD186" s="292" t="e">
        <f>IF(BB186+SUM($BD$12:BD185)&gt;=0,0,-BB186-SUM($BD$12:BD185))</f>
        <v>#DIV/0!</v>
      </c>
      <c r="BE186" s="235" t="e">
        <f>BB186+SUM($BD$12:BD186)</f>
        <v>#DIV/0!</v>
      </c>
      <c r="BF186" s="292" t="e">
        <f>-MIN(BE186:$BE$501)-SUM(BF$12:$BF185)</f>
        <v>#DIV/0!</v>
      </c>
      <c r="BG186" s="235" t="e">
        <f t="shared" si="139"/>
        <v>#DIV/0!</v>
      </c>
    </row>
    <row r="187" spans="2:59">
      <c r="B187" s="120">
        <v>174</v>
      </c>
      <c r="C187" s="241">
        <f t="shared" si="138"/>
        <v>47973</v>
      </c>
      <c r="D187" s="229">
        <f t="shared" si="140"/>
        <v>5</v>
      </c>
      <c r="E187" s="230" t="str">
        <f t="shared" si="141"/>
        <v>-</v>
      </c>
      <c r="F187" s="231">
        <f t="shared" si="142"/>
        <v>0</v>
      </c>
      <c r="G187" s="231">
        <f t="shared" si="143"/>
        <v>0</v>
      </c>
      <c r="H187" s="231">
        <f t="shared" si="144"/>
        <v>0</v>
      </c>
      <c r="I187" s="268">
        <f t="shared" si="129"/>
        <v>0</v>
      </c>
      <c r="J187" s="269">
        <f t="shared" si="145"/>
        <v>0</v>
      </c>
      <c r="K187" s="269">
        <f t="shared" si="146"/>
        <v>0</v>
      </c>
      <c r="L187" s="269">
        <f t="shared" si="130"/>
        <v>0</v>
      </c>
      <c r="M187" s="269">
        <f t="shared" si="131"/>
        <v>0</v>
      </c>
      <c r="N187" s="233">
        <f>VLOOKUP(B187,Dados!$L$86:$P$90,5)</f>
        <v>0</v>
      </c>
      <c r="O187" s="270">
        <f t="shared" si="147"/>
        <v>0.99999999999999989</v>
      </c>
      <c r="P187" s="269">
        <f t="shared" si="148"/>
        <v>0</v>
      </c>
      <c r="Q187" s="269" t="e">
        <f t="shared" si="149"/>
        <v>#DIV/0!</v>
      </c>
      <c r="R187" s="269">
        <f t="shared" si="150"/>
        <v>0</v>
      </c>
      <c r="S187" s="269" t="e">
        <f t="shared" si="151"/>
        <v>#DIV/0!</v>
      </c>
      <c r="T187" s="269" t="e">
        <f t="shared" si="137"/>
        <v>#DIV/0!</v>
      </c>
      <c r="U187" s="234">
        <f t="shared" si="152"/>
        <v>0</v>
      </c>
      <c r="V187" s="232" t="e">
        <f t="shared" si="153"/>
        <v>#DIV/0!</v>
      </c>
      <c r="W187" s="269" t="e">
        <f t="shared" si="154"/>
        <v>#DIV/0!</v>
      </c>
      <c r="X187" s="235">
        <f t="shared" si="132"/>
        <v>0</v>
      </c>
      <c r="Y187" s="236">
        <f t="shared" si="155"/>
        <v>5</v>
      </c>
      <c r="Z187" s="236" t="e">
        <f t="shared" si="156"/>
        <v>#DIV/0!</v>
      </c>
      <c r="AA187" s="236">
        <f t="shared" si="157"/>
        <v>3</v>
      </c>
      <c r="AB187" s="236" t="e">
        <f t="shared" si="158"/>
        <v>#DIV/0!</v>
      </c>
      <c r="AC187" s="235">
        <f t="shared" si="159"/>
        <v>0</v>
      </c>
      <c r="AD187" s="235">
        <f t="shared" si="160"/>
        <v>0</v>
      </c>
      <c r="AE187" s="279">
        <f t="shared" si="161"/>
        <v>0</v>
      </c>
      <c r="AF187" s="232">
        <f t="shared" si="162"/>
        <v>0</v>
      </c>
      <c r="AG187" s="235">
        <f t="shared" si="163"/>
        <v>0</v>
      </c>
      <c r="AH187" s="269">
        <f t="shared" si="164"/>
        <v>0</v>
      </c>
      <c r="AI187" s="232">
        <f t="shared" si="165"/>
        <v>0</v>
      </c>
      <c r="AJ187" s="235">
        <f t="shared" si="166"/>
        <v>0</v>
      </c>
      <c r="AK187" s="269">
        <f t="shared" si="167"/>
        <v>0</v>
      </c>
      <c r="AL187" s="269">
        <f t="shared" si="133"/>
        <v>0</v>
      </c>
      <c r="AM187" s="281" t="e">
        <f>IF(B187&gt;=mpfo,pos*vvm*Dados!$E$122*(ntudv-SUM(U188:$U$301))-SUM($AM$13:AM186),0)</f>
        <v>#DIV/0!</v>
      </c>
      <c r="AN187" s="269" t="e">
        <f t="shared" si="168"/>
        <v>#DIV/0!</v>
      </c>
      <c r="AO187" s="232" t="e">
        <f t="shared" si="169"/>
        <v>#DIV/0!</v>
      </c>
      <c r="AP187" s="242" t="e">
        <f t="shared" si="170"/>
        <v>#DIV/0!</v>
      </c>
      <c r="AQ187" s="235" t="e">
        <f>IF(AP187+SUM($AQ$12:AQ186)&gt;=0,0,-AP187-SUM($AQ$12:AQ186))</f>
        <v>#DIV/0!</v>
      </c>
      <c r="AR187" s="235">
        <f>IF(SUM($N$13:N186)&gt;=pmo,IF(SUM(N186:$N$501)&gt;(1-pmo),B187,0),0)</f>
        <v>0</v>
      </c>
      <c r="AS187" s="235" t="e">
        <f>IF((SUM($U$13:$U186)/ntudv)&gt;=pmv,IF((SUM($U186:$U$501)/ntudv)&gt;(1-pmv),B187,0),0)</f>
        <v>#DIV/0!</v>
      </c>
      <c r="AT187" s="237" t="e">
        <f>IF(MAX(mmo,mmv)=mmo,IF(B187=AR187,(SUM(N$13:$N186)-pmo)/((1-VLOOKUP(MAX(mmo,mmv)-1,$B$13:$O$501,14))+(VLOOKUP(MAX(mmo,mmv)-1,$B$13:$O$501,14)-pmo)),N186/((1-VLOOKUP(MAX(mmo,mmv)-1,$B$13:$O$501,14)+(VLOOKUP(MAX(mmo,mmv)-1,$B$13:$O$501,14)-pmo)))),N186/(1-VLOOKUP(MAX(mmo,mmv)-2,$B$13:$O$501,14)))</f>
        <v>#DIV/0!</v>
      </c>
      <c r="AU187" s="101" t="e">
        <f t="shared" si="134"/>
        <v>#DIV/0!</v>
      </c>
      <c r="AV187" s="287" t="e">
        <f t="shared" si="135"/>
        <v>#DIV/0!</v>
      </c>
      <c r="AW187" s="235" t="e">
        <f t="shared" si="171"/>
        <v>#DIV/0!</v>
      </c>
      <c r="AX187" s="281">
        <f>IF(B187&gt;mpfo,0,IF(B187=mpfo,(vld-teo*(1+tcfo-incc)^(MAX(mmo,mmv)-mbfo))*-1,IF(SUM($N$13:N186)&gt;=pmo,IF(($V186/ntudv)&gt;=pmv,IF(B187=MAX(mmo,mmv),-teo*(1+tcfo-incc)^(B187-mbfo),0),0),0)))</f>
        <v>0</v>
      </c>
      <c r="AY187" s="292" t="e">
        <f t="shared" si="136"/>
        <v>#DIV/0!</v>
      </c>
      <c r="AZ187" s="235" t="e">
        <f t="shared" si="172"/>
        <v>#DIV/0!</v>
      </c>
      <c r="BA187" s="269" t="e">
        <f t="shared" si="173"/>
        <v>#DIV/0!</v>
      </c>
      <c r="BB187" s="292" t="e">
        <f t="shared" si="174"/>
        <v>#DIV/0!</v>
      </c>
      <c r="BC187" s="238" t="e">
        <f>IF(SUM($BC$13:BC186)&gt;0,0,IF(BB187&gt;0,B187,0))</f>
        <v>#DIV/0!</v>
      </c>
      <c r="BD187" s="292" t="e">
        <f>IF(BB187+SUM($BD$12:BD186)&gt;=0,0,-BB187-SUM($BD$12:BD186))</f>
        <v>#DIV/0!</v>
      </c>
      <c r="BE187" s="235" t="e">
        <f>BB187+SUM($BD$12:BD187)</f>
        <v>#DIV/0!</v>
      </c>
      <c r="BF187" s="292" t="e">
        <f>-MIN(BE187:$BE$501)-SUM(BF$12:$BF186)</f>
        <v>#DIV/0!</v>
      </c>
      <c r="BG187" s="235" t="e">
        <f t="shared" si="139"/>
        <v>#DIV/0!</v>
      </c>
    </row>
    <row r="188" spans="2:59">
      <c r="B188" s="246">
        <v>175</v>
      </c>
      <c r="C188" s="241">
        <f t="shared" si="138"/>
        <v>48004</v>
      </c>
      <c r="D188" s="229">
        <f t="shared" si="140"/>
        <v>6</v>
      </c>
      <c r="E188" s="230" t="str">
        <f t="shared" si="141"/>
        <v>-</v>
      </c>
      <c r="F188" s="231">
        <f t="shared" si="142"/>
        <v>0</v>
      </c>
      <c r="G188" s="231">
        <f t="shared" si="143"/>
        <v>0</v>
      </c>
      <c r="H188" s="231">
        <f t="shared" si="144"/>
        <v>0</v>
      </c>
      <c r="I188" s="268">
        <f t="shared" si="129"/>
        <v>0</v>
      </c>
      <c r="J188" s="269">
        <f t="shared" si="145"/>
        <v>0</v>
      </c>
      <c r="K188" s="269">
        <f t="shared" si="146"/>
        <v>0</v>
      </c>
      <c r="L188" s="269">
        <f t="shared" si="130"/>
        <v>0</v>
      </c>
      <c r="M188" s="269">
        <f t="shared" si="131"/>
        <v>0</v>
      </c>
      <c r="N188" s="233">
        <f>VLOOKUP(B188,Dados!$L$86:$P$90,5)</f>
        <v>0</v>
      </c>
      <c r="O188" s="270">
        <f t="shared" si="147"/>
        <v>0.99999999999999989</v>
      </c>
      <c r="P188" s="269">
        <f t="shared" si="148"/>
        <v>0</v>
      </c>
      <c r="Q188" s="269" t="e">
        <f t="shared" si="149"/>
        <v>#DIV/0!</v>
      </c>
      <c r="R188" s="269">
        <f t="shared" si="150"/>
        <v>0</v>
      </c>
      <c r="S188" s="269" t="e">
        <f t="shared" si="151"/>
        <v>#DIV/0!</v>
      </c>
      <c r="T188" s="269" t="e">
        <f t="shared" si="137"/>
        <v>#DIV/0!</v>
      </c>
      <c r="U188" s="234">
        <f t="shared" si="152"/>
        <v>0</v>
      </c>
      <c r="V188" s="232" t="e">
        <f t="shared" si="153"/>
        <v>#DIV/0!</v>
      </c>
      <c r="W188" s="269" t="e">
        <f t="shared" si="154"/>
        <v>#DIV/0!</v>
      </c>
      <c r="X188" s="235">
        <f t="shared" si="132"/>
        <v>0</v>
      </c>
      <c r="Y188" s="236">
        <f t="shared" si="155"/>
        <v>5</v>
      </c>
      <c r="Z188" s="236" t="e">
        <f t="shared" si="156"/>
        <v>#DIV/0!</v>
      </c>
      <c r="AA188" s="236">
        <f t="shared" si="157"/>
        <v>3</v>
      </c>
      <c r="AB188" s="236" t="e">
        <f t="shared" si="158"/>
        <v>#DIV/0!</v>
      </c>
      <c r="AC188" s="235">
        <f t="shared" si="159"/>
        <v>0</v>
      </c>
      <c r="AD188" s="235">
        <f t="shared" si="160"/>
        <v>0</v>
      </c>
      <c r="AE188" s="279">
        <f t="shared" si="161"/>
        <v>0</v>
      </c>
      <c r="AF188" s="232">
        <f t="shared" si="162"/>
        <v>1</v>
      </c>
      <c r="AG188" s="235">
        <f t="shared" si="163"/>
        <v>0</v>
      </c>
      <c r="AH188" s="269">
        <f t="shared" si="164"/>
        <v>0</v>
      </c>
      <c r="AI188" s="232">
        <f t="shared" si="165"/>
        <v>0</v>
      </c>
      <c r="AJ188" s="235">
        <f t="shared" si="166"/>
        <v>0</v>
      </c>
      <c r="AK188" s="269">
        <f t="shared" si="167"/>
        <v>0</v>
      </c>
      <c r="AL188" s="269">
        <f t="shared" si="133"/>
        <v>0</v>
      </c>
      <c r="AM188" s="281" t="e">
        <f>IF(B188&gt;=mpfo,pos*vvm*Dados!$E$122*(ntudv-SUM(U189:$U$301))-SUM($AM$13:AM187),0)</f>
        <v>#DIV/0!</v>
      </c>
      <c r="AN188" s="269" t="e">
        <f t="shared" si="168"/>
        <v>#DIV/0!</v>
      </c>
      <c r="AO188" s="232" t="e">
        <f t="shared" si="169"/>
        <v>#DIV/0!</v>
      </c>
      <c r="AP188" s="242" t="e">
        <f t="shared" si="170"/>
        <v>#DIV/0!</v>
      </c>
      <c r="AQ188" s="235" t="e">
        <f>IF(AP188+SUM($AQ$12:AQ187)&gt;=0,0,-AP188-SUM($AQ$12:AQ187))</f>
        <v>#DIV/0!</v>
      </c>
      <c r="AR188" s="235">
        <f>IF(SUM($N$13:N187)&gt;=pmo,IF(SUM(N187:$N$501)&gt;(1-pmo),B188,0),0)</f>
        <v>0</v>
      </c>
      <c r="AS188" s="235" t="e">
        <f>IF((SUM($U$13:$U187)/ntudv)&gt;=pmv,IF((SUM($U187:$U$501)/ntudv)&gt;(1-pmv),B188,0),0)</f>
        <v>#DIV/0!</v>
      </c>
      <c r="AT188" s="237" t="e">
        <f>IF(MAX(mmo,mmv)=mmo,IF(B188=AR188,(SUM(N$13:$N187)-pmo)/((1-VLOOKUP(MAX(mmo,mmv)-1,$B$13:$O$501,14))+(VLOOKUP(MAX(mmo,mmv)-1,$B$13:$O$501,14)-pmo)),N187/((1-VLOOKUP(MAX(mmo,mmv)-1,$B$13:$O$501,14)+(VLOOKUP(MAX(mmo,mmv)-1,$B$13:$O$501,14)-pmo)))),N187/(1-VLOOKUP(MAX(mmo,mmv)-2,$B$13:$O$501,14)))</f>
        <v>#DIV/0!</v>
      </c>
      <c r="AU188" s="101" t="e">
        <f t="shared" si="134"/>
        <v>#DIV/0!</v>
      </c>
      <c r="AV188" s="287" t="e">
        <f t="shared" si="135"/>
        <v>#DIV/0!</v>
      </c>
      <c r="AW188" s="235" t="e">
        <f t="shared" si="171"/>
        <v>#DIV/0!</v>
      </c>
      <c r="AX188" s="281">
        <f>IF(B188&gt;mpfo,0,IF(B188=mpfo,(vld-teo*(1+tcfo-incc)^(MAX(mmo,mmv)-mbfo))*-1,IF(SUM($N$13:N187)&gt;=pmo,IF(($V187/ntudv)&gt;=pmv,IF(B188=MAX(mmo,mmv),-teo*(1+tcfo-incc)^(B188-mbfo),0),0),0)))</f>
        <v>0</v>
      </c>
      <c r="AY188" s="292" t="e">
        <f t="shared" si="136"/>
        <v>#DIV/0!</v>
      </c>
      <c r="AZ188" s="235" t="e">
        <f t="shared" si="172"/>
        <v>#DIV/0!</v>
      </c>
      <c r="BA188" s="269" t="e">
        <f t="shared" si="173"/>
        <v>#DIV/0!</v>
      </c>
      <c r="BB188" s="292" t="e">
        <f t="shared" si="174"/>
        <v>#DIV/0!</v>
      </c>
      <c r="BC188" s="238" t="e">
        <f>IF(SUM($BC$13:BC187)&gt;0,0,IF(BB188&gt;0,B188,0))</f>
        <v>#DIV/0!</v>
      </c>
      <c r="BD188" s="292" t="e">
        <f>IF(BB188+SUM($BD$12:BD187)&gt;=0,0,-BB188-SUM($BD$12:BD187))</f>
        <v>#DIV/0!</v>
      </c>
      <c r="BE188" s="235" t="e">
        <f>BB188+SUM($BD$12:BD188)</f>
        <v>#DIV/0!</v>
      </c>
      <c r="BF188" s="292" t="e">
        <f>-MIN(BE188:$BE$501)-SUM(BF$12:$BF187)</f>
        <v>#DIV/0!</v>
      </c>
      <c r="BG188" s="235" t="e">
        <f t="shared" si="139"/>
        <v>#DIV/0!</v>
      </c>
    </row>
    <row r="189" spans="2:59">
      <c r="B189" s="120">
        <v>176</v>
      </c>
      <c r="C189" s="241">
        <f t="shared" si="138"/>
        <v>48034</v>
      </c>
      <c r="D189" s="229">
        <f t="shared" si="140"/>
        <v>7</v>
      </c>
      <c r="E189" s="230" t="str">
        <f t="shared" si="141"/>
        <v>-</v>
      </c>
      <c r="F189" s="231">
        <f t="shared" si="142"/>
        <v>0</v>
      </c>
      <c r="G189" s="231">
        <f t="shared" si="143"/>
        <v>0</v>
      </c>
      <c r="H189" s="231">
        <f t="shared" si="144"/>
        <v>0</v>
      </c>
      <c r="I189" s="268">
        <f t="shared" si="129"/>
        <v>0</v>
      </c>
      <c r="J189" s="269">
        <f t="shared" si="145"/>
        <v>0</v>
      </c>
      <c r="K189" s="269">
        <f t="shared" si="146"/>
        <v>0</v>
      </c>
      <c r="L189" s="269">
        <f t="shared" si="130"/>
        <v>0</v>
      </c>
      <c r="M189" s="269">
        <f t="shared" si="131"/>
        <v>0</v>
      </c>
      <c r="N189" s="233">
        <f>VLOOKUP(B189,Dados!$L$86:$P$90,5)</f>
        <v>0</v>
      </c>
      <c r="O189" s="270">
        <f t="shared" si="147"/>
        <v>0.99999999999999989</v>
      </c>
      <c r="P189" s="269">
        <f t="shared" si="148"/>
        <v>0</v>
      </c>
      <c r="Q189" s="269" t="e">
        <f t="shared" si="149"/>
        <v>#DIV/0!</v>
      </c>
      <c r="R189" s="269">
        <f t="shared" si="150"/>
        <v>0</v>
      </c>
      <c r="S189" s="269" t="e">
        <f t="shared" si="151"/>
        <v>#DIV/0!</v>
      </c>
      <c r="T189" s="269" t="e">
        <f t="shared" si="137"/>
        <v>#DIV/0!</v>
      </c>
      <c r="U189" s="234">
        <f t="shared" si="152"/>
        <v>0</v>
      </c>
      <c r="V189" s="232" t="e">
        <f t="shared" si="153"/>
        <v>#DIV/0!</v>
      </c>
      <c r="W189" s="269" t="e">
        <f t="shared" si="154"/>
        <v>#DIV/0!</v>
      </c>
      <c r="X189" s="235">
        <f t="shared" si="132"/>
        <v>0</v>
      </c>
      <c r="Y189" s="236">
        <f t="shared" si="155"/>
        <v>5</v>
      </c>
      <c r="Z189" s="236" t="e">
        <f t="shared" si="156"/>
        <v>#DIV/0!</v>
      </c>
      <c r="AA189" s="236">
        <f t="shared" si="157"/>
        <v>3</v>
      </c>
      <c r="AB189" s="236" t="e">
        <f t="shared" si="158"/>
        <v>#DIV/0!</v>
      </c>
      <c r="AC189" s="235">
        <f t="shared" si="159"/>
        <v>0</v>
      </c>
      <c r="AD189" s="235">
        <f t="shared" si="160"/>
        <v>0</v>
      </c>
      <c r="AE189" s="279">
        <f t="shared" si="161"/>
        <v>0</v>
      </c>
      <c r="AF189" s="232">
        <f t="shared" si="162"/>
        <v>0</v>
      </c>
      <c r="AG189" s="235">
        <f t="shared" si="163"/>
        <v>0</v>
      </c>
      <c r="AH189" s="269">
        <f t="shared" si="164"/>
        <v>0</v>
      </c>
      <c r="AI189" s="232">
        <f t="shared" si="165"/>
        <v>0</v>
      </c>
      <c r="AJ189" s="235">
        <f t="shared" si="166"/>
        <v>0</v>
      </c>
      <c r="AK189" s="269">
        <f t="shared" si="167"/>
        <v>0</v>
      </c>
      <c r="AL189" s="269">
        <f t="shared" si="133"/>
        <v>0</v>
      </c>
      <c r="AM189" s="281" t="e">
        <f>IF(B189&gt;=mpfo,pos*vvm*Dados!$E$122*(ntudv-SUM(U190:$U$301))-SUM($AM$13:AM188),0)</f>
        <v>#DIV/0!</v>
      </c>
      <c r="AN189" s="269" t="e">
        <f t="shared" si="168"/>
        <v>#DIV/0!</v>
      </c>
      <c r="AO189" s="232" t="e">
        <f t="shared" si="169"/>
        <v>#DIV/0!</v>
      </c>
      <c r="AP189" s="242" t="e">
        <f t="shared" si="170"/>
        <v>#DIV/0!</v>
      </c>
      <c r="AQ189" s="235" t="e">
        <f>IF(AP189+SUM($AQ$12:AQ188)&gt;=0,0,-AP189-SUM($AQ$12:AQ188))</f>
        <v>#DIV/0!</v>
      </c>
      <c r="AR189" s="235">
        <f>IF(SUM($N$13:N188)&gt;=pmo,IF(SUM(N188:$N$501)&gt;(1-pmo),B189,0),0)</f>
        <v>0</v>
      </c>
      <c r="AS189" s="235" t="e">
        <f>IF((SUM($U$13:$U188)/ntudv)&gt;=pmv,IF((SUM($U188:$U$501)/ntudv)&gt;(1-pmv),B189,0),0)</f>
        <v>#DIV/0!</v>
      </c>
      <c r="AT189" s="237" t="e">
        <f>IF(MAX(mmo,mmv)=mmo,IF(B189=AR189,(SUM(N$13:$N188)-pmo)/((1-VLOOKUP(MAX(mmo,mmv)-1,$B$13:$O$501,14))+(VLOOKUP(MAX(mmo,mmv)-1,$B$13:$O$501,14)-pmo)),N188/((1-VLOOKUP(MAX(mmo,mmv)-1,$B$13:$O$501,14)+(VLOOKUP(MAX(mmo,mmv)-1,$B$13:$O$501,14)-pmo)))),N188/(1-VLOOKUP(MAX(mmo,mmv)-2,$B$13:$O$501,14)))</f>
        <v>#DIV/0!</v>
      </c>
      <c r="AU189" s="101" t="e">
        <f t="shared" si="134"/>
        <v>#DIV/0!</v>
      </c>
      <c r="AV189" s="287" t="e">
        <f t="shared" si="135"/>
        <v>#DIV/0!</v>
      </c>
      <c r="AW189" s="235" t="e">
        <f t="shared" si="171"/>
        <v>#DIV/0!</v>
      </c>
      <c r="AX189" s="281">
        <f>IF(B189&gt;mpfo,0,IF(B189=mpfo,(vld-teo*(1+tcfo-incc)^(MAX(mmo,mmv)-mbfo))*-1,IF(SUM($N$13:N188)&gt;=pmo,IF(($V188/ntudv)&gt;=pmv,IF(B189=MAX(mmo,mmv),-teo*(1+tcfo-incc)^(B189-mbfo),0),0),0)))</f>
        <v>0</v>
      </c>
      <c r="AY189" s="292" t="e">
        <f t="shared" si="136"/>
        <v>#DIV/0!</v>
      </c>
      <c r="AZ189" s="235" t="e">
        <f t="shared" si="172"/>
        <v>#DIV/0!</v>
      </c>
      <c r="BA189" s="269" t="e">
        <f t="shared" si="173"/>
        <v>#DIV/0!</v>
      </c>
      <c r="BB189" s="292" t="e">
        <f t="shared" si="174"/>
        <v>#DIV/0!</v>
      </c>
      <c r="BC189" s="238" t="e">
        <f>IF(SUM($BC$13:BC188)&gt;0,0,IF(BB189&gt;0,B189,0))</f>
        <v>#DIV/0!</v>
      </c>
      <c r="BD189" s="292" t="e">
        <f>IF(BB189+SUM($BD$12:BD188)&gt;=0,0,-BB189-SUM($BD$12:BD188))</f>
        <v>#DIV/0!</v>
      </c>
      <c r="BE189" s="235" t="e">
        <f>BB189+SUM($BD$12:BD189)</f>
        <v>#DIV/0!</v>
      </c>
      <c r="BF189" s="292" t="e">
        <f>-MIN(BE189:$BE$501)-SUM(BF$12:$BF188)</f>
        <v>#DIV/0!</v>
      </c>
      <c r="BG189" s="235" t="e">
        <f t="shared" si="139"/>
        <v>#DIV/0!</v>
      </c>
    </row>
    <row r="190" spans="2:59">
      <c r="B190" s="246">
        <v>177</v>
      </c>
      <c r="C190" s="241">
        <f t="shared" si="138"/>
        <v>48065</v>
      </c>
      <c r="D190" s="229">
        <f t="shared" si="140"/>
        <v>8</v>
      </c>
      <c r="E190" s="230" t="str">
        <f t="shared" si="141"/>
        <v>-</v>
      </c>
      <c r="F190" s="231">
        <f t="shared" si="142"/>
        <v>0</v>
      </c>
      <c r="G190" s="231">
        <f t="shared" si="143"/>
        <v>0</v>
      </c>
      <c r="H190" s="231">
        <f t="shared" si="144"/>
        <v>0</v>
      </c>
      <c r="I190" s="268">
        <f t="shared" si="129"/>
        <v>0</v>
      </c>
      <c r="J190" s="269">
        <f t="shared" si="145"/>
        <v>0</v>
      </c>
      <c r="K190" s="269">
        <f t="shared" si="146"/>
        <v>0</v>
      </c>
      <c r="L190" s="269">
        <f t="shared" si="130"/>
        <v>0</v>
      </c>
      <c r="M190" s="269">
        <f t="shared" si="131"/>
        <v>0</v>
      </c>
      <c r="N190" s="233">
        <f>VLOOKUP(B190,Dados!$L$86:$P$90,5)</f>
        <v>0</v>
      </c>
      <c r="O190" s="270">
        <f t="shared" si="147"/>
        <v>0.99999999999999989</v>
      </c>
      <c r="P190" s="269">
        <f t="shared" si="148"/>
        <v>0</v>
      </c>
      <c r="Q190" s="269" t="e">
        <f t="shared" si="149"/>
        <v>#DIV/0!</v>
      </c>
      <c r="R190" s="269">
        <f t="shared" si="150"/>
        <v>0</v>
      </c>
      <c r="S190" s="269" t="e">
        <f t="shared" si="151"/>
        <v>#DIV/0!</v>
      </c>
      <c r="T190" s="269" t="e">
        <f t="shared" si="137"/>
        <v>#DIV/0!</v>
      </c>
      <c r="U190" s="234">
        <f t="shared" si="152"/>
        <v>0</v>
      </c>
      <c r="V190" s="232" t="e">
        <f t="shared" si="153"/>
        <v>#DIV/0!</v>
      </c>
      <c r="W190" s="269" t="e">
        <f t="shared" si="154"/>
        <v>#DIV/0!</v>
      </c>
      <c r="X190" s="235">
        <f t="shared" si="132"/>
        <v>0</v>
      </c>
      <c r="Y190" s="236">
        <f t="shared" si="155"/>
        <v>5</v>
      </c>
      <c r="Z190" s="236" t="e">
        <f t="shared" si="156"/>
        <v>#DIV/0!</v>
      </c>
      <c r="AA190" s="236">
        <f t="shared" si="157"/>
        <v>3</v>
      </c>
      <c r="AB190" s="236" t="e">
        <f t="shared" si="158"/>
        <v>#DIV/0!</v>
      </c>
      <c r="AC190" s="235">
        <f t="shared" si="159"/>
        <v>0</v>
      </c>
      <c r="AD190" s="235">
        <f t="shared" si="160"/>
        <v>0</v>
      </c>
      <c r="AE190" s="279">
        <f t="shared" si="161"/>
        <v>0</v>
      </c>
      <c r="AF190" s="232">
        <f t="shared" si="162"/>
        <v>0</v>
      </c>
      <c r="AG190" s="235">
        <f t="shared" si="163"/>
        <v>0</v>
      </c>
      <c r="AH190" s="269">
        <f t="shared" si="164"/>
        <v>0</v>
      </c>
      <c r="AI190" s="232">
        <f t="shared" si="165"/>
        <v>0</v>
      </c>
      <c r="AJ190" s="235">
        <f t="shared" si="166"/>
        <v>0</v>
      </c>
      <c r="AK190" s="269">
        <f t="shared" si="167"/>
        <v>0</v>
      </c>
      <c r="AL190" s="269">
        <f t="shared" si="133"/>
        <v>0</v>
      </c>
      <c r="AM190" s="281" t="e">
        <f>IF(B190&gt;=mpfo,pos*vvm*Dados!$E$122*(ntudv-SUM(U191:$U$301))-SUM($AM$13:AM189),0)</f>
        <v>#DIV/0!</v>
      </c>
      <c r="AN190" s="269" t="e">
        <f t="shared" si="168"/>
        <v>#DIV/0!</v>
      </c>
      <c r="AO190" s="232" t="e">
        <f t="shared" si="169"/>
        <v>#DIV/0!</v>
      </c>
      <c r="AP190" s="242" t="e">
        <f t="shared" si="170"/>
        <v>#DIV/0!</v>
      </c>
      <c r="AQ190" s="235" t="e">
        <f>IF(AP190+SUM($AQ$12:AQ189)&gt;=0,0,-AP190-SUM($AQ$12:AQ189))</f>
        <v>#DIV/0!</v>
      </c>
      <c r="AR190" s="235">
        <f>IF(SUM($N$13:N189)&gt;=pmo,IF(SUM(N189:$N$501)&gt;(1-pmo),B190,0),0)</f>
        <v>0</v>
      </c>
      <c r="AS190" s="235" t="e">
        <f>IF((SUM($U$13:$U189)/ntudv)&gt;=pmv,IF((SUM($U189:$U$501)/ntudv)&gt;(1-pmv),B190,0),0)</f>
        <v>#DIV/0!</v>
      </c>
      <c r="AT190" s="237" t="e">
        <f>IF(MAX(mmo,mmv)=mmo,IF(B190=AR190,(SUM(N$13:$N189)-pmo)/((1-VLOOKUP(MAX(mmo,mmv)-1,$B$13:$O$501,14))+(VLOOKUP(MAX(mmo,mmv)-1,$B$13:$O$501,14)-pmo)),N189/((1-VLOOKUP(MAX(mmo,mmv)-1,$B$13:$O$501,14)+(VLOOKUP(MAX(mmo,mmv)-1,$B$13:$O$501,14)-pmo)))),N189/(1-VLOOKUP(MAX(mmo,mmv)-2,$B$13:$O$501,14)))</f>
        <v>#DIV/0!</v>
      </c>
      <c r="AU190" s="101" t="e">
        <f t="shared" si="134"/>
        <v>#DIV/0!</v>
      </c>
      <c r="AV190" s="287" t="e">
        <f t="shared" si="135"/>
        <v>#DIV/0!</v>
      </c>
      <c r="AW190" s="235" t="e">
        <f t="shared" si="171"/>
        <v>#DIV/0!</v>
      </c>
      <c r="AX190" s="281">
        <f>IF(B190&gt;mpfo,0,IF(B190=mpfo,(vld-teo*(1+tcfo-incc)^(MAX(mmo,mmv)-mbfo))*-1,IF(SUM($N$13:N189)&gt;=pmo,IF(($V189/ntudv)&gt;=pmv,IF(B190=MAX(mmo,mmv),-teo*(1+tcfo-incc)^(B190-mbfo),0),0),0)))</f>
        <v>0</v>
      </c>
      <c r="AY190" s="292" t="e">
        <f t="shared" si="136"/>
        <v>#DIV/0!</v>
      </c>
      <c r="AZ190" s="235" t="e">
        <f t="shared" si="172"/>
        <v>#DIV/0!</v>
      </c>
      <c r="BA190" s="269" t="e">
        <f t="shared" si="173"/>
        <v>#DIV/0!</v>
      </c>
      <c r="BB190" s="292" t="e">
        <f t="shared" si="174"/>
        <v>#DIV/0!</v>
      </c>
      <c r="BC190" s="238" t="e">
        <f>IF(SUM($BC$13:BC189)&gt;0,0,IF(BB190&gt;0,B190,0))</f>
        <v>#DIV/0!</v>
      </c>
      <c r="BD190" s="292" t="e">
        <f>IF(BB190+SUM($BD$12:BD189)&gt;=0,0,-BB190-SUM($BD$12:BD189))</f>
        <v>#DIV/0!</v>
      </c>
      <c r="BE190" s="235" t="e">
        <f>BB190+SUM($BD$12:BD190)</f>
        <v>#DIV/0!</v>
      </c>
      <c r="BF190" s="292" t="e">
        <f>-MIN(BE190:$BE$501)-SUM(BF$12:$BF189)</f>
        <v>#DIV/0!</v>
      </c>
      <c r="BG190" s="235" t="e">
        <f t="shared" si="139"/>
        <v>#DIV/0!</v>
      </c>
    </row>
    <row r="191" spans="2:59">
      <c r="B191" s="120">
        <v>178</v>
      </c>
      <c r="C191" s="241">
        <f t="shared" si="138"/>
        <v>48096</v>
      </c>
      <c r="D191" s="229">
        <f t="shared" si="140"/>
        <v>9</v>
      </c>
      <c r="E191" s="230" t="str">
        <f t="shared" si="141"/>
        <v>-</v>
      </c>
      <c r="F191" s="231">
        <f t="shared" si="142"/>
        <v>0</v>
      </c>
      <c r="G191" s="231">
        <f t="shared" si="143"/>
        <v>0</v>
      </c>
      <c r="H191" s="231">
        <f t="shared" si="144"/>
        <v>0</v>
      </c>
      <c r="I191" s="268">
        <f t="shared" si="129"/>
        <v>0</v>
      </c>
      <c r="J191" s="269">
        <f t="shared" si="145"/>
        <v>0</v>
      </c>
      <c r="K191" s="269">
        <f t="shared" si="146"/>
        <v>0</v>
      </c>
      <c r="L191" s="269">
        <f t="shared" si="130"/>
        <v>0</v>
      </c>
      <c r="M191" s="269">
        <f t="shared" si="131"/>
        <v>0</v>
      </c>
      <c r="N191" s="233">
        <f>VLOOKUP(B191,Dados!$L$86:$P$90,5)</f>
        <v>0</v>
      </c>
      <c r="O191" s="270">
        <f t="shared" si="147"/>
        <v>0.99999999999999989</v>
      </c>
      <c r="P191" s="269">
        <f t="shared" si="148"/>
        <v>0</v>
      </c>
      <c r="Q191" s="269" t="e">
        <f t="shared" si="149"/>
        <v>#DIV/0!</v>
      </c>
      <c r="R191" s="269">
        <f t="shared" si="150"/>
        <v>0</v>
      </c>
      <c r="S191" s="269" t="e">
        <f t="shared" si="151"/>
        <v>#DIV/0!</v>
      </c>
      <c r="T191" s="269" t="e">
        <f t="shared" si="137"/>
        <v>#DIV/0!</v>
      </c>
      <c r="U191" s="234">
        <f t="shared" si="152"/>
        <v>0</v>
      </c>
      <c r="V191" s="232" t="e">
        <f t="shared" si="153"/>
        <v>#DIV/0!</v>
      </c>
      <c r="W191" s="269" t="e">
        <f t="shared" si="154"/>
        <v>#DIV/0!</v>
      </c>
      <c r="X191" s="235">
        <f t="shared" si="132"/>
        <v>0</v>
      </c>
      <c r="Y191" s="236">
        <f t="shared" si="155"/>
        <v>5</v>
      </c>
      <c r="Z191" s="236" t="e">
        <f t="shared" si="156"/>
        <v>#DIV/0!</v>
      </c>
      <c r="AA191" s="236">
        <f t="shared" si="157"/>
        <v>3</v>
      </c>
      <c r="AB191" s="236" t="e">
        <f t="shared" si="158"/>
        <v>#DIV/0!</v>
      </c>
      <c r="AC191" s="235">
        <f t="shared" si="159"/>
        <v>0</v>
      </c>
      <c r="AD191" s="235">
        <f t="shared" si="160"/>
        <v>0</v>
      </c>
      <c r="AE191" s="279">
        <f t="shared" si="161"/>
        <v>0</v>
      </c>
      <c r="AF191" s="232">
        <f t="shared" si="162"/>
        <v>0</v>
      </c>
      <c r="AG191" s="235">
        <f t="shared" si="163"/>
        <v>0</v>
      </c>
      <c r="AH191" s="269">
        <f t="shared" si="164"/>
        <v>0</v>
      </c>
      <c r="AI191" s="232">
        <f t="shared" si="165"/>
        <v>0</v>
      </c>
      <c r="AJ191" s="235">
        <f t="shared" si="166"/>
        <v>0</v>
      </c>
      <c r="AK191" s="269">
        <f t="shared" si="167"/>
        <v>0</v>
      </c>
      <c r="AL191" s="269">
        <f t="shared" si="133"/>
        <v>0</v>
      </c>
      <c r="AM191" s="281" t="e">
        <f>IF(B191&gt;=mpfo,pos*vvm*Dados!$E$122*(ntudv-SUM(U192:$U$301))-SUM($AM$13:AM190),0)</f>
        <v>#DIV/0!</v>
      </c>
      <c r="AN191" s="269" t="e">
        <f t="shared" si="168"/>
        <v>#DIV/0!</v>
      </c>
      <c r="AO191" s="232" t="e">
        <f t="shared" si="169"/>
        <v>#DIV/0!</v>
      </c>
      <c r="AP191" s="242" t="e">
        <f t="shared" si="170"/>
        <v>#DIV/0!</v>
      </c>
      <c r="AQ191" s="235" t="e">
        <f>IF(AP191+SUM($AQ$12:AQ190)&gt;=0,0,-AP191-SUM($AQ$12:AQ190))</f>
        <v>#DIV/0!</v>
      </c>
      <c r="AR191" s="235">
        <f>IF(SUM($N$13:N190)&gt;=pmo,IF(SUM(N190:$N$501)&gt;(1-pmo),B191,0),0)</f>
        <v>0</v>
      </c>
      <c r="AS191" s="235" t="e">
        <f>IF((SUM($U$13:$U190)/ntudv)&gt;=pmv,IF((SUM($U190:$U$501)/ntudv)&gt;(1-pmv),B191,0),0)</f>
        <v>#DIV/0!</v>
      </c>
      <c r="AT191" s="237" t="e">
        <f>IF(MAX(mmo,mmv)=mmo,IF(B191=AR191,(SUM(N$13:$N190)-pmo)/((1-VLOOKUP(MAX(mmo,mmv)-1,$B$13:$O$501,14))+(VLOOKUP(MAX(mmo,mmv)-1,$B$13:$O$501,14)-pmo)),N190/((1-VLOOKUP(MAX(mmo,mmv)-1,$B$13:$O$501,14)+(VLOOKUP(MAX(mmo,mmv)-1,$B$13:$O$501,14)-pmo)))),N190/(1-VLOOKUP(MAX(mmo,mmv)-2,$B$13:$O$501,14)))</f>
        <v>#DIV/0!</v>
      </c>
      <c r="AU191" s="101" t="e">
        <f t="shared" si="134"/>
        <v>#DIV/0!</v>
      </c>
      <c r="AV191" s="287" t="e">
        <f t="shared" si="135"/>
        <v>#DIV/0!</v>
      </c>
      <c r="AW191" s="235" t="e">
        <f t="shared" si="171"/>
        <v>#DIV/0!</v>
      </c>
      <c r="AX191" s="281">
        <f>IF(B191&gt;mpfo,0,IF(B191=mpfo,(vld-teo*(1+tcfo-incc)^(MAX(mmo,mmv)-mbfo))*-1,IF(SUM($N$13:N190)&gt;=pmo,IF(($V190/ntudv)&gt;=pmv,IF(B191=MAX(mmo,mmv),-teo*(1+tcfo-incc)^(B191-mbfo),0),0),0)))</f>
        <v>0</v>
      </c>
      <c r="AY191" s="292" t="e">
        <f t="shared" si="136"/>
        <v>#DIV/0!</v>
      </c>
      <c r="AZ191" s="235" t="e">
        <f t="shared" si="172"/>
        <v>#DIV/0!</v>
      </c>
      <c r="BA191" s="269" t="e">
        <f t="shared" si="173"/>
        <v>#DIV/0!</v>
      </c>
      <c r="BB191" s="292" t="e">
        <f t="shared" si="174"/>
        <v>#DIV/0!</v>
      </c>
      <c r="BC191" s="238" t="e">
        <f>IF(SUM($BC$13:BC190)&gt;0,0,IF(BB191&gt;0,B191,0))</f>
        <v>#DIV/0!</v>
      </c>
      <c r="BD191" s="292" t="e">
        <f>IF(BB191+SUM($BD$12:BD190)&gt;=0,0,-BB191-SUM($BD$12:BD190))</f>
        <v>#DIV/0!</v>
      </c>
      <c r="BE191" s="235" t="e">
        <f>BB191+SUM($BD$12:BD191)</f>
        <v>#DIV/0!</v>
      </c>
      <c r="BF191" s="292" t="e">
        <f>-MIN(BE191:$BE$501)-SUM(BF$12:$BF190)</f>
        <v>#DIV/0!</v>
      </c>
      <c r="BG191" s="235" t="e">
        <f t="shared" si="139"/>
        <v>#DIV/0!</v>
      </c>
    </row>
    <row r="192" spans="2:59">
      <c r="B192" s="246">
        <v>179</v>
      </c>
      <c r="C192" s="241">
        <f t="shared" si="138"/>
        <v>48126</v>
      </c>
      <c r="D192" s="229">
        <f t="shared" si="140"/>
        <v>10</v>
      </c>
      <c r="E192" s="230" t="str">
        <f t="shared" si="141"/>
        <v>-</v>
      </c>
      <c r="F192" s="231">
        <f t="shared" si="142"/>
        <v>0</v>
      </c>
      <c r="G192" s="231">
        <f t="shared" si="143"/>
        <v>0</v>
      </c>
      <c r="H192" s="231">
        <f t="shared" si="144"/>
        <v>0</v>
      </c>
      <c r="I192" s="268">
        <f t="shared" si="129"/>
        <v>0</v>
      </c>
      <c r="J192" s="269">
        <f t="shared" si="145"/>
        <v>0</v>
      </c>
      <c r="K192" s="269">
        <f t="shared" si="146"/>
        <v>0</v>
      </c>
      <c r="L192" s="269">
        <f t="shared" si="130"/>
        <v>0</v>
      </c>
      <c r="M192" s="269">
        <f t="shared" si="131"/>
        <v>0</v>
      </c>
      <c r="N192" s="233">
        <f>VLOOKUP(B192,Dados!$L$86:$P$90,5)</f>
        <v>0</v>
      </c>
      <c r="O192" s="270">
        <f t="shared" si="147"/>
        <v>0.99999999999999989</v>
      </c>
      <c r="P192" s="269">
        <f t="shared" si="148"/>
        <v>0</v>
      </c>
      <c r="Q192" s="269" t="e">
        <f t="shared" si="149"/>
        <v>#DIV/0!</v>
      </c>
      <c r="R192" s="269">
        <f t="shared" si="150"/>
        <v>0</v>
      </c>
      <c r="S192" s="269" t="e">
        <f t="shared" si="151"/>
        <v>#DIV/0!</v>
      </c>
      <c r="T192" s="269" t="e">
        <f t="shared" si="137"/>
        <v>#DIV/0!</v>
      </c>
      <c r="U192" s="234">
        <f t="shared" si="152"/>
        <v>0</v>
      </c>
      <c r="V192" s="232" t="e">
        <f t="shared" si="153"/>
        <v>#DIV/0!</v>
      </c>
      <c r="W192" s="269" t="e">
        <f t="shared" si="154"/>
        <v>#DIV/0!</v>
      </c>
      <c r="X192" s="235">
        <f t="shared" si="132"/>
        <v>0</v>
      </c>
      <c r="Y192" s="236">
        <f t="shared" si="155"/>
        <v>5</v>
      </c>
      <c r="Z192" s="236" t="e">
        <f t="shared" si="156"/>
        <v>#DIV/0!</v>
      </c>
      <c r="AA192" s="236">
        <f t="shared" si="157"/>
        <v>3</v>
      </c>
      <c r="AB192" s="236" t="e">
        <f t="shared" si="158"/>
        <v>#DIV/0!</v>
      </c>
      <c r="AC192" s="235">
        <f t="shared" si="159"/>
        <v>0</v>
      </c>
      <c r="AD192" s="235">
        <f t="shared" si="160"/>
        <v>0</v>
      </c>
      <c r="AE192" s="279">
        <f t="shared" si="161"/>
        <v>0</v>
      </c>
      <c r="AF192" s="232">
        <f t="shared" si="162"/>
        <v>0</v>
      </c>
      <c r="AG192" s="235">
        <f t="shared" si="163"/>
        <v>0</v>
      </c>
      <c r="AH192" s="269">
        <f t="shared" si="164"/>
        <v>0</v>
      </c>
      <c r="AI192" s="232">
        <f t="shared" si="165"/>
        <v>0</v>
      </c>
      <c r="AJ192" s="235">
        <f t="shared" si="166"/>
        <v>0</v>
      </c>
      <c r="AK192" s="269">
        <f t="shared" si="167"/>
        <v>0</v>
      </c>
      <c r="AL192" s="269">
        <f t="shared" si="133"/>
        <v>0</v>
      </c>
      <c r="AM192" s="281" t="e">
        <f>IF(B192&gt;=mpfo,pos*vvm*Dados!$E$122*(ntudv-SUM(U193:$U$301))-SUM($AM$13:AM191),0)</f>
        <v>#DIV/0!</v>
      </c>
      <c r="AN192" s="269" t="e">
        <f t="shared" si="168"/>
        <v>#DIV/0!</v>
      </c>
      <c r="AO192" s="232" t="e">
        <f t="shared" si="169"/>
        <v>#DIV/0!</v>
      </c>
      <c r="AP192" s="242" t="e">
        <f t="shared" si="170"/>
        <v>#DIV/0!</v>
      </c>
      <c r="AQ192" s="235" t="e">
        <f>IF(AP192+SUM($AQ$12:AQ191)&gt;=0,0,-AP192-SUM($AQ$12:AQ191))</f>
        <v>#DIV/0!</v>
      </c>
      <c r="AR192" s="235">
        <f>IF(SUM($N$13:N191)&gt;=pmo,IF(SUM(N191:$N$501)&gt;(1-pmo),B192,0),0)</f>
        <v>0</v>
      </c>
      <c r="AS192" s="235" t="e">
        <f>IF((SUM($U$13:$U191)/ntudv)&gt;=pmv,IF((SUM($U191:$U$501)/ntudv)&gt;(1-pmv),B192,0),0)</f>
        <v>#DIV/0!</v>
      </c>
      <c r="AT192" s="237" t="e">
        <f>IF(MAX(mmo,mmv)=mmo,IF(B192=AR192,(SUM(N$13:$N191)-pmo)/((1-VLOOKUP(MAX(mmo,mmv)-1,$B$13:$O$501,14))+(VLOOKUP(MAX(mmo,mmv)-1,$B$13:$O$501,14)-pmo)),N191/((1-VLOOKUP(MAX(mmo,mmv)-1,$B$13:$O$501,14)+(VLOOKUP(MAX(mmo,mmv)-1,$B$13:$O$501,14)-pmo)))),N191/(1-VLOOKUP(MAX(mmo,mmv)-2,$B$13:$O$501,14)))</f>
        <v>#DIV/0!</v>
      </c>
      <c r="AU192" s="101" t="e">
        <f t="shared" si="134"/>
        <v>#DIV/0!</v>
      </c>
      <c r="AV192" s="287" t="e">
        <f t="shared" si="135"/>
        <v>#DIV/0!</v>
      </c>
      <c r="AW192" s="235" t="e">
        <f t="shared" si="171"/>
        <v>#DIV/0!</v>
      </c>
      <c r="AX192" s="281">
        <f>IF(B192&gt;mpfo,0,IF(B192=mpfo,(vld-teo*(1+tcfo-incc)^(MAX(mmo,mmv)-mbfo))*-1,IF(SUM($N$13:N191)&gt;=pmo,IF(($V191/ntudv)&gt;=pmv,IF(B192=MAX(mmo,mmv),-teo*(1+tcfo-incc)^(B192-mbfo),0),0),0)))</f>
        <v>0</v>
      </c>
      <c r="AY192" s="292" t="e">
        <f t="shared" si="136"/>
        <v>#DIV/0!</v>
      </c>
      <c r="AZ192" s="235" t="e">
        <f t="shared" si="172"/>
        <v>#DIV/0!</v>
      </c>
      <c r="BA192" s="269" t="e">
        <f t="shared" si="173"/>
        <v>#DIV/0!</v>
      </c>
      <c r="BB192" s="292" t="e">
        <f t="shared" si="174"/>
        <v>#DIV/0!</v>
      </c>
      <c r="BC192" s="238" t="e">
        <f>IF(SUM($BC$13:BC191)&gt;0,0,IF(BB192&gt;0,B192,0))</f>
        <v>#DIV/0!</v>
      </c>
      <c r="BD192" s="292" t="e">
        <f>IF(BB192+SUM($BD$12:BD191)&gt;=0,0,-BB192-SUM($BD$12:BD191))</f>
        <v>#DIV/0!</v>
      </c>
      <c r="BE192" s="235" t="e">
        <f>BB192+SUM($BD$12:BD192)</f>
        <v>#DIV/0!</v>
      </c>
      <c r="BF192" s="292" t="e">
        <f>-MIN(BE192:$BE$501)-SUM(BF$12:$BF191)</f>
        <v>#DIV/0!</v>
      </c>
      <c r="BG192" s="235" t="e">
        <f t="shared" si="139"/>
        <v>#DIV/0!</v>
      </c>
    </row>
    <row r="193" spans="2:59">
      <c r="B193" s="120">
        <v>180</v>
      </c>
      <c r="C193" s="241">
        <f t="shared" si="138"/>
        <v>48157</v>
      </c>
      <c r="D193" s="229">
        <f t="shared" si="140"/>
        <v>11</v>
      </c>
      <c r="E193" s="230" t="str">
        <f t="shared" si="141"/>
        <v>-</v>
      </c>
      <c r="F193" s="231">
        <f t="shared" si="142"/>
        <v>0</v>
      </c>
      <c r="G193" s="231">
        <f t="shared" si="143"/>
        <v>0</v>
      </c>
      <c r="H193" s="231">
        <f t="shared" si="144"/>
        <v>0</v>
      </c>
      <c r="I193" s="268">
        <f t="shared" si="129"/>
        <v>0</v>
      </c>
      <c r="J193" s="269">
        <f t="shared" si="145"/>
        <v>0</v>
      </c>
      <c r="K193" s="269">
        <f t="shared" si="146"/>
        <v>0</v>
      </c>
      <c r="L193" s="269">
        <f t="shared" si="130"/>
        <v>0</v>
      </c>
      <c r="M193" s="269">
        <f t="shared" si="131"/>
        <v>0</v>
      </c>
      <c r="N193" s="233">
        <f>VLOOKUP(B193,Dados!$L$86:$P$90,5)</f>
        <v>0</v>
      </c>
      <c r="O193" s="270">
        <f t="shared" si="147"/>
        <v>0.99999999999999989</v>
      </c>
      <c r="P193" s="269">
        <f t="shared" si="148"/>
        <v>0</v>
      </c>
      <c r="Q193" s="269" t="e">
        <f t="shared" si="149"/>
        <v>#DIV/0!</v>
      </c>
      <c r="R193" s="269">
        <f t="shared" si="150"/>
        <v>0</v>
      </c>
      <c r="S193" s="269" t="e">
        <f t="shared" si="151"/>
        <v>#DIV/0!</v>
      </c>
      <c r="T193" s="269" t="e">
        <f t="shared" si="137"/>
        <v>#DIV/0!</v>
      </c>
      <c r="U193" s="234">
        <f t="shared" si="152"/>
        <v>0</v>
      </c>
      <c r="V193" s="232" t="e">
        <f t="shared" si="153"/>
        <v>#DIV/0!</v>
      </c>
      <c r="W193" s="269" t="e">
        <f t="shared" si="154"/>
        <v>#DIV/0!</v>
      </c>
      <c r="X193" s="235">
        <f t="shared" si="132"/>
        <v>0</v>
      </c>
      <c r="Y193" s="236">
        <f t="shared" si="155"/>
        <v>5</v>
      </c>
      <c r="Z193" s="236" t="e">
        <f t="shared" si="156"/>
        <v>#DIV/0!</v>
      </c>
      <c r="AA193" s="236">
        <f t="shared" si="157"/>
        <v>3</v>
      </c>
      <c r="AB193" s="236" t="e">
        <f t="shared" si="158"/>
        <v>#DIV/0!</v>
      </c>
      <c r="AC193" s="235">
        <f t="shared" si="159"/>
        <v>0</v>
      </c>
      <c r="AD193" s="235">
        <f t="shared" si="160"/>
        <v>0</v>
      </c>
      <c r="AE193" s="279">
        <f t="shared" si="161"/>
        <v>0</v>
      </c>
      <c r="AF193" s="232">
        <f t="shared" si="162"/>
        <v>0</v>
      </c>
      <c r="AG193" s="235">
        <f t="shared" si="163"/>
        <v>0</v>
      </c>
      <c r="AH193" s="269">
        <f t="shared" si="164"/>
        <v>0</v>
      </c>
      <c r="AI193" s="232">
        <f t="shared" si="165"/>
        <v>0</v>
      </c>
      <c r="AJ193" s="235">
        <f t="shared" si="166"/>
        <v>0</v>
      </c>
      <c r="AK193" s="269">
        <f t="shared" si="167"/>
        <v>0</v>
      </c>
      <c r="AL193" s="269">
        <f t="shared" si="133"/>
        <v>0</v>
      </c>
      <c r="AM193" s="281" t="e">
        <f>IF(B193&gt;=mpfo,pos*vvm*Dados!$E$122*(ntudv-SUM(U194:$U$301))-SUM($AM$13:AM192),0)</f>
        <v>#DIV/0!</v>
      </c>
      <c r="AN193" s="269" t="e">
        <f t="shared" si="168"/>
        <v>#DIV/0!</v>
      </c>
      <c r="AO193" s="232" t="e">
        <f t="shared" si="169"/>
        <v>#DIV/0!</v>
      </c>
      <c r="AP193" s="242" t="e">
        <f t="shared" si="170"/>
        <v>#DIV/0!</v>
      </c>
      <c r="AQ193" s="235" t="e">
        <f>IF(AP193+SUM($AQ$12:AQ192)&gt;=0,0,-AP193-SUM($AQ$12:AQ192))</f>
        <v>#DIV/0!</v>
      </c>
      <c r="AR193" s="235">
        <f>IF(SUM($N$13:N192)&gt;=pmo,IF(SUM(N192:$N$501)&gt;(1-pmo),B193,0),0)</f>
        <v>0</v>
      </c>
      <c r="AS193" s="235" t="e">
        <f>IF((SUM($U$13:$U192)/ntudv)&gt;=pmv,IF((SUM($U192:$U$501)/ntudv)&gt;(1-pmv),B193,0),0)</f>
        <v>#DIV/0!</v>
      </c>
      <c r="AT193" s="237" t="e">
        <f>IF(MAX(mmo,mmv)=mmo,IF(B193=AR193,(SUM(N$13:$N192)-pmo)/((1-VLOOKUP(MAX(mmo,mmv)-1,$B$13:$O$501,14))+(VLOOKUP(MAX(mmo,mmv)-1,$B$13:$O$501,14)-pmo)),N192/((1-VLOOKUP(MAX(mmo,mmv)-1,$B$13:$O$501,14)+(VLOOKUP(MAX(mmo,mmv)-1,$B$13:$O$501,14)-pmo)))),N192/(1-VLOOKUP(MAX(mmo,mmv)-2,$B$13:$O$501,14)))</f>
        <v>#DIV/0!</v>
      </c>
      <c r="AU193" s="101" t="e">
        <f t="shared" si="134"/>
        <v>#DIV/0!</v>
      </c>
      <c r="AV193" s="287" t="e">
        <f t="shared" si="135"/>
        <v>#DIV/0!</v>
      </c>
      <c r="AW193" s="235" t="e">
        <f t="shared" si="171"/>
        <v>#DIV/0!</v>
      </c>
      <c r="AX193" s="281">
        <f>IF(B193&gt;mpfo,0,IF(B193=mpfo,(vld-teo*(1+tcfo-incc)^(MAX(mmo,mmv)-mbfo))*-1,IF(SUM($N$13:N192)&gt;=pmo,IF(($V192/ntudv)&gt;=pmv,IF(B193=MAX(mmo,mmv),-teo*(1+tcfo-incc)^(B193-mbfo),0),0),0)))</f>
        <v>0</v>
      </c>
      <c r="AY193" s="292" t="e">
        <f t="shared" si="136"/>
        <v>#DIV/0!</v>
      </c>
      <c r="AZ193" s="235" t="e">
        <f t="shared" si="172"/>
        <v>#DIV/0!</v>
      </c>
      <c r="BA193" s="269" t="e">
        <f t="shared" si="173"/>
        <v>#DIV/0!</v>
      </c>
      <c r="BB193" s="292" t="e">
        <f t="shared" si="174"/>
        <v>#DIV/0!</v>
      </c>
      <c r="BC193" s="238" t="e">
        <f>IF(SUM($BC$13:BC192)&gt;0,0,IF(BB193&gt;0,B193,0))</f>
        <v>#DIV/0!</v>
      </c>
      <c r="BD193" s="292" t="e">
        <f>IF(BB193+SUM($BD$12:BD192)&gt;=0,0,-BB193-SUM($BD$12:BD192))</f>
        <v>#DIV/0!</v>
      </c>
      <c r="BE193" s="235" t="e">
        <f>BB193+SUM($BD$12:BD193)</f>
        <v>#DIV/0!</v>
      </c>
      <c r="BF193" s="292" t="e">
        <f>-MIN(BE193:$BE$501)-SUM(BF$12:$BF192)</f>
        <v>#DIV/0!</v>
      </c>
      <c r="BG193" s="235" t="e">
        <f t="shared" si="139"/>
        <v>#DIV/0!</v>
      </c>
    </row>
    <row r="194" spans="2:59">
      <c r="B194" s="246">
        <v>181</v>
      </c>
      <c r="C194" s="241">
        <f t="shared" si="138"/>
        <v>48187</v>
      </c>
      <c r="D194" s="229">
        <f t="shared" si="140"/>
        <v>12</v>
      </c>
      <c r="E194" s="230" t="str">
        <f t="shared" si="141"/>
        <v>-</v>
      </c>
      <c r="F194" s="231">
        <f t="shared" si="142"/>
        <v>0</v>
      </c>
      <c r="G194" s="231">
        <f t="shared" si="143"/>
        <v>0</v>
      </c>
      <c r="H194" s="231">
        <f t="shared" si="144"/>
        <v>0</v>
      </c>
      <c r="I194" s="268">
        <f t="shared" si="129"/>
        <v>0</v>
      </c>
      <c r="J194" s="269">
        <f t="shared" si="145"/>
        <v>0</v>
      </c>
      <c r="K194" s="269">
        <f t="shared" si="146"/>
        <v>0</v>
      </c>
      <c r="L194" s="269">
        <f t="shared" si="130"/>
        <v>0</v>
      </c>
      <c r="M194" s="269">
        <f t="shared" si="131"/>
        <v>0</v>
      </c>
      <c r="N194" s="233">
        <f>VLOOKUP(B194,Dados!$L$86:$P$90,5)</f>
        <v>0</v>
      </c>
      <c r="O194" s="270">
        <f t="shared" si="147"/>
        <v>0.99999999999999989</v>
      </c>
      <c r="P194" s="269">
        <f t="shared" si="148"/>
        <v>0</v>
      </c>
      <c r="Q194" s="269" t="e">
        <f t="shared" si="149"/>
        <v>#DIV/0!</v>
      </c>
      <c r="R194" s="269">
        <f t="shared" si="150"/>
        <v>0</v>
      </c>
      <c r="S194" s="269" t="e">
        <f t="shared" si="151"/>
        <v>#DIV/0!</v>
      </c>
      <c r="T194" s="269" t="e">
        <f t="shared" si="137"/>
        <v>#DIV/0!</v>
      </c>
      <c r="U194" s="234">
        <f t="shared" si="152"/>
        <v>0</v>
      </c>
      <c r="V194" s="232" t="e">
        <f t="shared" si="153"/>
        <v>#DIV/0!</v>
      </c>
      <c r="W194" s="269" t="e">
        <f t="shared" si="154"/>
        <v>#DIV/0!</v>
      </c>
      <c r="X194" s="235">
        <f t="shared" si="132"/>
        <v>0</v>
      </c>
      <c r="Y194" s="236">
        <f t="shared" si="155"/>
        <v>5</v>
      </c>
      <c r="Z194" s="236" t="e">
        <f t="shared" si="156"/>
        <v>#DIV/0!</v>
      </c>
      <c r="AA194" s="236">
        <f t="shared" si="157"/>
        <v>3</v>
      </c>
      <c r="AB194" s="236" t="e">
        <f t="shared" si="158"/>
        <v>#DIV/0!</v>
      </c>
      <c r="AC194" s="235">
        <f t="shared" si="159"/>
        <v>0</v>
      </c>
      <c r="AD194" s="235">
        <f t="shared" si="160"/>
        <v>0</v>
      </c>
      <c r="AE194" s="279">
        <f t="shared" si="161"/>
        <v>0</v>
      </c>
      <c r="AF194" s="232">
        <f t="shared" si="162"/>
        <v>1</v>
      </c>
      <c r="AG194" s="235">
        <f t="shared" si="163"/>
        <v>0</v>
      </c>
      <c r="AH194" s="269">
        <f t="shared" si="164"/>
        <v>0</v>
      </c>
      <c r="AI194" s="232">
        <f t="shared" si="165"/>
        <v>1</v>
      </c>
      <c r="AJ194" s="235">
        <f t="shared" si="166"/>
        <v>0</v>
      </c>
      <c r="AK194" s="269">
        <f t="shared" si="167"/>
        <v>0</v>
      </c>
      <c r="AL194" s="269">
        <f t="shared" si="133"/>
        <v>0</v>
      </c>
      <c r="AM194" s="281" t="e">
        <f>IF(B194&gt;=mpfo,pos*vvm*Dados!$E$122*(ntudv-SUM(U195:$U$301))-SUM($AM$13:AM193),0)</f>
        <v>#DIV/0!</v>
      </c>
      <c r="AN194" s="269" t="e">
        <f t="shared" si="168"/>
        <v>#DIV/0!</v>
      </c>
      <c r="AO194" s="232" t="e">
        <f t="shared" si="169"/>
        <v>#DIV/0!</v>
      </c>
      <c r="AP194" s="242" t="e">
        <f t="shared" si="170"/>
        <v>#DIV/0!</v>
      </c>
      <c r="AQ194" s="235" t="e">
        <f>IF(AP194+SUM($AQ$12:AQ193)&gt;=0,0,-AP194-SUM($AQ$12:AQ193))</f>
        <v>#DIV/0!</v>
      </c>
      <c r="AR194" s="235">
        <f>IF(SUM($N$13:N193)&gt;=pmo,IF(SUM(N193:$N$501)&gt;(1-pmo),B194,0),0)</f>
        <v>0</v>
      </c>
      <c r="AS194" s="235" t="e">
        <f>IF((SUM($U$13:$U193)/ntudv)&gt;=pmv,IF((SUM($U193:$U$501)/ntudv)&gt;(1-pmv),B194,0),0)</f>
        <v>#DIV/0!</v>
      </c>
      <c r="AT194" s="237" t="e">
        <f>IF(MAX(mmo,mmv)=mmo,IF(B194=AR194,(SUM(N$13:$N193)-pmo)/((1-VLOOKUP(MAX(mmo,mmv)-1,$B$13:$O$501,14))+(VLOOKUP(MAX(mmo,mmv)-1,$B$13:$O$501,14)-pmo)),N193/((1-VLOOKUP(MAX(mmo,mmv)-1,$B$13:$O$501,14)+(VLOOKUP(MAX(mmo,mmv)-1,$B$13:$O$501,14)-pmo)))),N193/(1-VLOOKUP(MAX(mmo,mmv)-2,$B$13:$O$501,14)))</f>
        <v>#DIV/0!</v>
      </c>
      <c r="AU194" s="101" t="e">
        <f t="shared" si="134"/>
        <v>#DIV/0!</v>
      </c>
      <c r="AV194" s="287" t="e">
        <f t="shared" si="135"/>
        <v>#DIV/0!</v>
      </c>
      <c r="AW194" s="235" t="e">
        <f t="shared" si="171"/>
        <v>#DIV/0!</v>
      </c>
      <c r="AX194" s="281">
        <f>IF(B194&gt;mpfo,0,IF(B194=mpfo,(vld-teo*(1+tcfo-incc)^(MAX(mmo,mmv)-mbfo))*-1,IF(SUM($N$13:N193)&gt;=pmo,IF(($V193/ntudv)&gt;=pmv,IF(B194=MAX(mmo,mmv),-teo*(1+tcfo-incc)^(B194-mbfo),0),0),0)))</f>
        <v>0</v>
      </c>
      <c r="AY194" s="292" t="e">
        <f t="shared" si="136"/>
        <v>#DIV/0!</v>
      </c>
      <c r="AZ194" s="235" t="e">
        <f t="shared" si="172"/>
        <v>#DIV/0!</v>
      </c>
      <c r="BA194" s="269" t="e">
        <f t="shared" si="173"/>
        <v>#DIV/0!</v>
      </c>
      <c r="BB194" s="292" t="e">
        <f t="shared" si="174"/>
        <v>#DIV/0!</v>
      </c>
      <c r="BC194" s="238" t="e">
        <f>IF(SUM($BC$13:BC193)&gt;0,0,IF(BB194&gt;0,B194,0))</f>
        <v>#DIV/0!</v>
      </c>
      <c r="BD194" s="292" t="e">
        <f>IF(BB194+SUM($BD$12:BD193)&gt;=0,0,-BB194-SUM($BD$12:BD193))</f>
        <v>#DIV/0!</v>
      </c>
      <c r="BE194" s="235" t="e">
        <f>BB194+SUM($BD$12:BD194)</f>
        <v>#DIV/0!</v>
      </c>
      <c r="BF194" s="292" t="e">
        <f>-MIN(BE194:$BE$501)-SUM(BF$12:$BF193)</f>
        <v>#DIV/0!</v>
      </c>
      <c r="BG194" s="235" t="e">
        <f t="shared" si="139"/>
        <v>#DIV/0!</v>
      </c>
    </row>
    <row r="195" spans="2:59">
      <c r="B195" s="120">
        <v>182</v>
      </c>
      <c r="C195" s="241">
        <f t="shared" si="138"/>
        <v>48218</v>
      </c>
      <c r="D195" s="229">
        <f t="shared" si="140"/>
        <v>1</v>
      </c>
      <c r="E195" s="230" t="str">
        <f t="shared" si="141"/>
        <v>-</v>
      </c>
      <c r="F195" s="231">
        <f t="shared" si="142"/>
        <v>0</v>
      </c>
      <c r="G195" s="231">
        <f t="shared" si="143"/>
        <v>0</v>
      </c>
      <c r="H195" s="231">
        <f t="shared" si="144"/>
        <v>0</v>
      </c>
      <c r="I195" s="268">
        <f t="shared" si="129"/>
        <v>0</v>
      </c>
      <c r="J195" s="269">
        <f t="shared" si="145"/>
        <v>0</v>
      </c>
      <c r="K195" s="269">
        <f t="shared" si="146"/>
        <v>0</v>
      </c>
      <c r="L195" s="269">
        <f t="shared" si="130"/>
        <v>0</v>
      </c>
      <c r="M195" s="269">
        <f t="shared" si="131"/>
        <v>0</v>
      </c>
      <c r="N195" s="233">
        <f>VLOOKUP(B195,Dados!$L$86:$P$90,5)</f>
        <v>0</v>
      </c>
      <c r="O195" s="270">
        <f t="shared" si="147"/>
        <v>0.99999999999999989</v>
      </c>
      <c r="P195" s="269">
        <f t="shared" si="148"/>
        <v>0</v>
      </c>
      <c r="Q195" s="269" t="e">
        <f t="shared" si="149"/>
        <v>#DIV/0!</v>
      </c>
      <c r="R195" s="269">
        <f t="shared" si="150"/>
        <v>0</v>
      </c>
      <c r="S195" s="269" t="e">
        <f t="shared" si="151"/>
        <v>#DIV/0!</v>
      </c>
      <c r="T195" s="269" t="e">
        <f t="shared" si="137"/>
        <v>#DIV/0!</v>
      </c>
      <c r="U195" s="234">
        <f t="shared" si="152"/>
        <v>0</v>
      </c>
      <c r="V195" s="232" t="e">
        <f t="shared" si="153"/>
        <v>#DIV/0!</v>
      </c>
      <c r="W195" s="269" t="e">
        <f t="shared" si="154"/>
        <v>#DIV/0!</v>
      </c>
      <c r="X195" s="235">
        <f t="shared" si="132"/>
        <v>0</v>
      </c>
      <c r="Y195" s="236">
        <f t="shared" si="155"/>
        <v>5</v>
      </c>
      <c r="Z195" s="236" t="e">
        <f t="shared" si="156"/>
        <v>#DIV/0!</v>
      </c>
      <c r="AA195" s="236">
        <f t="shared" si="157"/>
        <v>3</v>
      </c>
      <c r="AB195" s="236" t="e">
        <f t="shared" si="158"/>
        <v>#DIV/0!</v>
      </c>
      <c r="AC195" s="235">
        <f t="shared" si="159"/>
        <v>0</v>
      </c>
      <c r="AD195" s="235">
        <f t="shared" si="160"/>
        <v>0</v>
      </c>
      <c r="AE195" s="279">
        <f t="shared" si="161"/>
        <v>0</v>
      </c>
      <c r="AF195" s="232">
        <f t="shared" si="162"/>
        <v>0</v>
      </c>
      <c r="AG195" s="235">
        <f t="shared" si="163"/>
        <v>0</v>
      </c>
      <c r="AH195" s="269">
        <f t="shared" si="164"/>
        <v>0</v>
      </c>
      <c r="AI195" s="232">
        <f t="shared" si="165"/>
        <v>0</v>
      </c>
      <c r="AJ195" s="235">
        <f t="shared" si="166"/>
        <v>0</v>
      </c>
      <c r="AK195" s="269">
        <f t="shared" si="167"/>
        <v>0</v>
      </c>
      <c r="AL195" s="269">
        <f t="shared" si="133"/>
        <v>0</v>
      </c>
      <c r="AM195" s="281" t="e">
        <f>IF(B195&gt;=mpfo,pos*vvm*Dados!$E$122*(ntudv-SUM(U196:$U$301))-SUM($AM$13:AM194),0)</f>
        <v>#DIV/0!</v>
      </c>
      <c r="AN195" s="269" t="e">
        <f t="shared" si="168"/>
        <v>#DIV/0!</v>
      </c>
      <c r="AO195" s="232" t="e">
        <f t="shared" si="169"/>
        <v>#DIV/0!</v>
      </c>
      <c r="AP195" s="242" t="e">
        <f t="shared" si="170"/>
        <v>#DIV/0!</v>
      </c>
      <c r="AQ195" s="235" t="e">
        <f>IF(AP195+SUM($AQ$12:AQ194)&gt;=0,0,-AP195-SUM($AQ$12:AQ194))</f>
        <v>#DIV/0!</v>
      </c>
      <c r="AR195" s="235">
        <f>IF(SUM($N$13:N194)&gt;=pmo,IF(SUM(N194:$N$501)&gt;(1-pmo),B195,0),0)</f>
        <v>0</v>
      </c>
      <c r="AS195" s="235" t="e">
        <f>IF((SUM($U$13:$U194)/ntudv)&gt;=pmv,IF((SUM($U194:$U$501)/ntudv)&gt;(1-pmv),B195,0),0)</f>
        <v>#DIV/0!</v>
      </c>
      <c r="AT195" s="237" t="e">
        <f>IF(MAX(mmo,mmv)=mmo,IF(B195=AR195,(SUM(N$13:$N194)-pmo)/((1-VLOOKUP(MAX(mmo,mmv)-1,$B$13:$O$501,14))+(VLOOKUP(MAX(mmo,mmv)-1,$B$13:$O$501,14)-pmo)),N194/((1-VLOOKUP(MAX(mmo,mmv)-1,$B$13:$O$501,14)+(VLOOKUP(MAX(mmo,mmv)-1,$B$13:$O$501,14)-pmo)))),N194/(1-VLOOKUP(MAX(mmo,mmv)-2,$B$13:$O$501,14)))</f>
        <v>#DIV/0!</v>
      </c>
      <c r="AU195" s="101" t="e">
        <f t="shared" si="134"/>
        <v>#DIV/0!</v>
      </c>
      <c r="AV195" s="287" t="e">
        <f t="shared" si="135"/>
        <v>#DIV/0!</v>
      </c>
      <c r="AW195" s="235" t="e">
        <f t="shared" si="171"/>
        <v>#DIV/0!</v>
      </c>
      <c r="AX195" s="281">
        <f>IF(B195&gt;mpfo,0,IF(B195=mpfo,(vld-teo*(1+tcfo-incc)^(MAX(mmo,mmv)-mbfo))*-1,IF(SUM($N$13:N194)&gt;=pmo,IF(($V194/ntudv)&gt;=pmv,IF(B195=MAX(mmo,mmv),-teo*(1+tcfo-incc)^(B195-mbfo),0),0),0)))</f>
        <v>0</v>
      </c>
      <c r="AY195" s="292" t="e">
        <f t="shared" si="136"/>
        <v>#DIV/0!</v>
      </c>
      <c r="AZ195" s="235" t="e">
        <f t="shared" si="172"/>
        <v>#DIV/0!</v>
      </c>
      <c r="BA195" s="269" t="e">
        <f t="shared" si="173"/>
        <v>#DIV/0!</v>
      </c>
      <c r="BB195" s="292" t="e">
        <f t="shared" si="174"/>
        <v>#DIV/0!</v>
      </c>
      <c r="BC195" s="238" t="e">
        <f>IF(SUM($BC$13:BC194)&gt;0,0,IF(BB195&gt;0,B195,0))</f>
        <v>#DIV/0!</v>
      </c>
      <c r="BD195" s="292" t="e">
        <f>IF(BB195+SUM($BD$12:BD194)&gt;=0,0,-BB195-SUM($BD$12:BD194))</f>
        <v>#DIV/0!</v>
      </c>
      <c r="BE195" s="235" t="e">
        <f>BB195+SUM($BD$12:BD195)</f>
        <v>#DIV/0!</v>
      </c>
      <c r="BF195" s="292" t="e">
        <f>-MIN(BE195:$BE$501)-SUM(BF$12:$BF194)</f>
        <v>#DIV/0!</v>
      </c>
      <c r="BG195" s="235" t="e">
        <f t="shared" si="139"/>
        <v>#DIV/0!</v>
      </c>
    </row>
    <row r="196" spans="2:59">
      <c r="B196" s="246">
        <v>183</v>
      </c>
      <c r="C196" s="241">
        <f t="shared" si="138"/>
        <v>48249</v>
      </c>
      <c r="D196" s="229">
        <f t="shared" si="140"/>
        <v>2</v>
      </c>
      <c r="E196" s="230" t="str">
        <f t="shared" si="141"/>
        <v>-</v>
      </c>
      <c r="F196" s="231">
        <f t="shared" si="142"/>
        <v>0</v>
      </c>
      <c r="G196" s="231">
        <f t="shared" si="143"/>
        <v>0</v>
      </c>
      <c r="H196" s="231">
        <f t="shared" si="144"/>
        <v>0</v>
      </c>
      <c r="I196" s="268">
        <f t="shared" si="129"/>
        <v>0</v>
      </c>
      <c r="J196" s="269">
        <f t="shared" si="145"/>
        <v>0</v>
      </c>
      <c r="K196" s="269">
        <f t="shared" si="146"/>
        <v>0</v>
      </c>
      <c r="L196" s="269">
        <f t="shared" si="130"/>
        <v>0</v>
      </c>
      <c r="M196" s="269">
        <f t="shared" si="131"/>
        <v>0</v>
      </c>
      <c r="N196" s="233">
        <f>VLOOKUP(B196,Dados!$L$86:$P$90,5)</f>
        <v>0</v>
      </c>
      <c r="O196" s="270">
        <f t="shared" si="147"/>
        <v>0.99999999999999989</v>
      </c>
      <c r="P196" s="269">
        <f t="shared" si="148"/>
        <v>0</v>
      </c>
      <c r="Q196" s="269" t="e">
        <f t="shared" si="149"/>
        <v>#DIV/0!</v>
      </c>
      <c r="R196" s="269">
        <f t="shared" si="150"/>
        <v>0</v>
      </c>
      <c r="S196" s="269" t="e">
        <f t="shared" si="151"/>
        <v>#DIV/0!</v>
      </c>
      <c r="T196" s="269" t="e">
        <f t="shared" si="137"/>
        <v>#DIV/0!</v>
      </c>
      <c r="U196" s="234">
        <f t="shared" si="152"/>
        <v>0</v>
      </c>
      <c r="V196" s="232" t="e">
        <f t="shared" si="153"/>
        <v>#DIV/0!</v>
      </c>
      <c r="W196" s="269" t="e">
        <f t="shared" si="154"/>
        <v>#DIV/0!</v>
      </c>
      <c r="X196" s="235">
        <f t="shared" si="132"/>
        <v>0</v>
      </c>
      <c r="Y196" s="236">
        <f t="shared" si="155"/>
        <v>5</v>
      </c>
      <c r="Z196" s="236" t="e">
        <f t="shared" si="156"/>
        <v>#DIV/0!</v>
      </c>
      <c r="AA196" s="236">
        <f t="shared" si="157"/>
        <v>3</v>
      </c>
      <c r="AB196" s="236" t="e">
        <f t="shared" si="158"/>
        <v>#DIV/0!</v>
      </c>
      <c r="AC196" s="235">
        <f t="shared" si="159"/>
        <v>0</v>
      </c>
      <c r="AD196" s="235">
        <f t="shared" si="160"/>
        <v>0</v>
      </c>
      <c r="AE196" s="279">
        <f t="shared" si="161"/>
        <v>0</v>
      </c>
      <c r="AF196" s="232">
        <f t="shared" si="162"/>
        <v>0</v>
      </c>
      <c r="AG196" s="235">
        <f t="shared" si="163"/>
        <v>0</v>
      </c>
      <c r="AH196" s="269">
        <f t="shared" si="164"/>
        <v>0</v>
      </c>
      <c r="AI196" s="232">
        <f t="shared" si="165"/>
        <v>0</v>
      </c>
      <c r="AJ196" s="235">
        <f t="shared" si="166"/>
        <v>0</v>
      </c>
      <c r="AK196" s="269">
        <f t="shared" si="167"/>
        <v>0</v>
      </c>
      <c r="AL196" s="269">
        <f t="shared" si="133"/>
        <v>0</v>
      </c>
      <c r="AM196" s="281" t="e">
        <f>IF(B196&gt;=mpfo,pos*vvm*Dados!$E$122*(ntudv-SUM(U197:$U$301))-SUM($AM$13:AM195),0)</f>
        <v>#DIV/0!</v>
      </c>
      <c r="AN196" s="269" t="e">
        <f t="shared" si="168"/>
        <v>#DIV/0!</v>
      </c>
      <c r="AO196" s="232" t="e">
        <f t="shared" si="169"/>
        <v>#DIV/0!</v>
      </c>
      <c r="AP196" s="242" t="e">
        <f t="shared" si="170"/>
        <v>#DIV/0!</v>
      </c>
      <c r="AQ196" s="235" t="e">
        <f>IF(AP196+SUM($AQ$12:AQ195)&gt;=0,0,-AP196-SUM($AQ$12:AQ195))</f>
        <v>#DIV/0!</v>
      </c>
      <c r="AR196" s="235">
        <f>IF(SUM($N$13:N195)&gt;=pmo,IF(SUM(N195:$N$501)&gt;(1-pmo),B196,0),0)</f>
        <v>0</v>
      </c>
      <c r="AS196" s="235" t="e">
        <f>IF((SUM($U$13:$U195)/ntudv)&gt;=pmv,IF((SUM($U195:$U$501)/ntudv)&gt;(1-pmv),B196,0),0)</f>
        <v>#DIV/0!</v>
      </c>
      <c r="AT196" s="237" t="e">
        <f>IF(MAX(mmo,mmv)=mmo,IF(B196=AR196,(SUM(N$13:$N195)-pmo)/((1-VLOOKUP(MAX(mmo,mmv)-1,$B$13:$O$501,14))+(VLOOKUP(MAX(mmo,mmv)-1,$B$13:$O$501,14)-pmo)),N195/((1-VLOOKUP(MAX(mmo,mmv)-1,$B$13:$O$501,14)+(VLOOKUP(MAX(mmo,mmv)-1,$B$13:$O$501,14)-pmo)))),N195/(1-VLOOKUP(MAX(mmo,mmv)-2,$B$13:$O$501,14)))</f>
        <v>#DIV/0!</v>
      </c>
      <c r="AU196" s="101" t="e">
        <f t="shared" si="134"/>
        <v>#DIV/0!</v>
      </c>
      <c r="AV196" s="287" t="e">
        <f t="shared" si="135"/>
        <v>#DIV/0!</v>
      </c>
      <c r="AW196" s="235" t="e">
        <f t="shared" si="171"/>
        <v>#DIV/0!</v>
      </c>
      <c r="AX196" s="281">
        <f>IF(B196&gt;mpfo,0,IF(B196=mpfo,(vld-teo*(1+tcfo-incc)^(MAX(mmo,mmv)-mbfo))*-1,IF(SUM($N$13:N195)&gt;=pmo,IF(($V195/ntudv)&gt;=pmv,IF(B196=MAX(mmo,mmv),-teo*(1+tcfo-incc)^(B196-mbfo),0),0),0)))</f>
        <v>0</v>
      </c>
      <c r="AY196" s="292" t="e">
        <f t="shared" si="136"/>
        <v>#DIV/0!</v>
      </c>
      <c r="AZ196" s="235" t="e">
        <f t="shared" si="172"/>
        <v>#DIV/0!</v>
      </c>
      <c r="BA196" s="269" t="e">
        <f t="shared" si="173"/>
        <v>#DIV/0!</v>
      </c>
      <c r="BB196" s="292" t="e">
        <f t="shared" si="174"/>
        <v>#DIV/0!</v>
      </c>
      <c r="BC196" s="238" t="e">
        <f>IF(SUM($BC$13:BC195)&gt;0,0,IF(BB196&gt;0,B196,0))</f>
        <v>#DIV/0!</v>
      </c>
      <c r="BD196" s="292" t="e">
        <f>IF(BB196+SUM($BD$12:BD195)&gt;=0,0,-BB196-SUM($BD$12:BD195))</f>
        <v>#DIV/0!</v>
      </c>
      <c r="BE196" s="235" t="e">
        <f>BB196+SUM($BD$12:BD196)</f>
        <v>#DIV/0!</v>
      </c>
      <c r="BF196" s="292" t="e">
        <f>-MIN(BE196:$BE$501)-SUM(BF$12:$BF195)</f>
        <v>#DIV/0!</v>
      </c>
      <c r="BG196" s="235" t="e">
        <f t="shared" si="139"/>
        <v>#DIV/0!</v>
      </c>
    </row>
    <row r="197" spans="2:59">
      <c r="B197" s="120">
        <v>184</v>
      </c>
      <c r="C197" s="241">
        <f t="shared" si="138"/>
        <v>48278</v>
      </c>
      <c r="D197" s="229">
        <f t="shared" si="140"/>
        <v>3</v>
      </c>
      <c r="E197" s="230" t="str">
        <f t="shared" si="141"/>
        <v>-</v>
      </c>
      <c r="F197" s="231">
        <f t="shared" si="142"/>
        <v>0</v>
      </c>
      <c r="G197" s="231">
        <f t="shared" si="143"/>
        <v>0</v>
      </c>
      <c r="H197" s="231">
        <f t="shared" si="144"/>
        <v>0</v>
      </c>
      <c r="I197" s="268">
        <f t="shared" si="129"/>
        <v>0</v>
      </c>
      <c r="J197" s="269">
        <f t="shared" si="145"/>
        <v>0</v>
      </c>
      <c r="K197" s="269">
        <f t="shared" si="146"/>
        <v>0</v>
      </c>
      <c r="L197" s="269">
        <f t="shared" si="130"/>
        <v>0</v>
      </c>
      <c r="M197" s="269">
        <f t="shared" si="131"/>
        <v>0</v>
      </c>
      <c r="N197" s="233">
        <f>VLOOKUP(B197,Dados!$L$86:$P$90,5)</f>
        <v>0</v>
      </c>
      <c r="O197" s="270">
        <f t="shared" si="147"/>
        <v>0.99999999999999989</v>
      </c>
      <c r="P197" s="269">
        <f t="shared" si="148"/>
        <v>0</v>
      </c>
      <c r="Q197" s="269" t="e">
        <f t="shared" si="149"/>
        <v>#DIV/0!</v>
      </c>
      <c r="R197" s="269">
        <f t="shared" si="150"/>
        <v>0</v>
      </c>
      <c r="S197" s="269" t="e">
        <f t="shared" si="151"/>
        <v>#DIV/0!</v>
      </c>
      <c r="T197" s="269" t="e">
        <f t="shared" si="137"/>
        <v>#DIV/0!</v>
      </c>
      <c r="U197" s="234">
        <f t="shared" si="152"/>
        <v>0</v>
      </c>
      <c r="V197" s="232" t="e">
        <f t="shared" si="153"/>
        <v>#DIV/0!</v>
      </c>
      <c r="W197" s="269" t="e">
        <f t="shared" si="154"/>
        <v>#DIV/0!</v>
      </c>
      <c r="X197" s="235">
        <f t="shared" si="132"/>
        <v>0</v>
      </c>
      <c r="Y197" s="236">
        <f t="shared" si="155"/>
        <v>5</v>
      </c>
      <c r="Z197" s="236" t="e">
        <f t="shared" si="156"/>
        <v>#DIV/0!</v>
      </c>
      <c r="AA197" s="236">
        <f t="shared" si="157"/>
        <v>3</v>
      </c>
      <c r="AB197" s="236" t="e">
        <f t="shared" si="158"/>
        <v>#DIV/0!</v>
      </c>
      <c r="AC197" s="235">
        <f t="shared" si="159"/>
        <v>0</v>
      </c>
      <c r="AD197" s="235">
        <f t="shared" si="160"/>
        <v>0</v>
      </c>
      <c r="AE197" s="279">
        <f t="shared" si="161"/>
        <v>0</v>
      </c>
      <c r="AF197" s="232">
        <f t="shared" si="162"/>
        <v>0</v>
      </c>
      <c r="AG197" s="235">
        <f t="shared" si="163"/>
        <v>0</v>
      </c>
      <c r="AH197" s="269">
        <f t="shared" si="164"/>
        <v>0</v>
      </c>
      <c r="AI197" s="232">
        <f t="shared" si="165"/>
        <v>0</v>
      </c>
      <c r="AJ197" s="235">
        <f t="shared" si="166"/>
        <v>0</v>
      </c>
      <c r="AK197" s="269">
        <f t="shared" si="167"/>
        <v>0</v>
      </c>
      <c r="AL197" s="269">
        <f t="shared" si="133"/>
        <v>0</v>
      </c>
      <c r="AM197" s="281" t="e">
        <f>IF(B197&gt;=mpfo,pos*vvm*Dados!$E$122*(ntudv-SUM(U198:$U$301))-SUM($AM$13:AM196),0)</f>
        <v>#DIV/0!</v>
      </c>
      <c r="AN197" s="269" t="e">
        <f t="shared" si="168"/>
        <v>#DIV/0!</v>
      </c>
      <c r="AO197" s="232" t="e">
        <f t="shared" si="169"/>
        <v>#DIV/0!</v>
      </c>
      <c r="AP197" s="242" t="e">
        <f t="shared" si="170"/>
        <v>#DIV/0!</v>
      </c>
      <c r="AQ197" s="235" t="e">
        <f>IF(AP197+SUM($AQ$12:AQ196)&gt;=0,0,-AP197-SUM($AQ$12:AQ196))</f>
        <v>#DIV/0!</v>
      </c>
      <c r="AR197" s="235">
        <f>IF(SUM($N$13:N196)&gt;=pmo,IF(SUM(N196:$N$501)&gt;(1-pmo),B197,0),0)</f>
        <v>0</v>
      </c>
      <c r="AS197" s="235" t="e">
        <f>IF((SUM($U$13:$U196)/ntudv)&gt;=pmv,IF((SUM($U196:$U$501)/ntudv)&gt;(1-pmv),B197,0),0)</f>
        <v>#DIV/0!</v>
      </c>
      <c r="AT197" s="237" t="e">
        <f>IF(MAX(mmo,mmv)=mmo,IF(B197=AR197,(SUM(N$13:$N196)-pmo)/((1-VLOOKUP(MAX(mmo,mmv)-1,$B$13:$O$501,14))+(VLOOKUP(MAX(mmo,mmv)-1,$B$13:$O$501,14)-pmo)),N196/((1-VLOOKUP(MAX(mmo,mmv)-1,$B$13:$O$501,14)+(VLOOKUP(MAX(mmo,mmv)-1,$B$13:$O$501,14)-pmo)))),N196/(1-VLOOKUP(MAX(mmo,mmv)-2,$B$13:$O$501,14)))</f>
        <v>#DIV/0!</v>
      </c>
      <c r="AU197" s="101" t="e">
        <f t="shared" si="134"/>
        <v>#DIV/0!</v>
      </c>
      <c r="AV197" s="287" t="e">
        <f t="shared" si="135"/>
        <v>#DIV/0!</v>
      </c>
      <c r="AW197" s="235" t="e">
        <f t="shared" si="171"/>
        <v>#DIV/0!</v>
      </c>
      <c r="AX197" s="281">
        <f>IF(B197&gt;mpfo,0,IF(B197=mpfo,(vld-teo*(1+tcfo-incc)^(MAX(mmo,mmv)-mbfo))*-1,IF(SUM($N$13:N196)&gt;=pmo,IF(($V196/ntudv)&gt;=pmv,IF(B197=MAX(mmo,mmv),-teo*(1+tcfo-incc)^(B197-mbfo),0),0),0)))</f>
        <v>0</v>
      </c>
      <c r="AY197" s="292" t="e">
        <f t="shared" si="136"/>
        <v>#DIV/0!</v>
      </c>
      <c r="AZ197" s="235" t="e">
        <f t="shared" si="172"/>
        <v>#DIV/0!</v>
      </c>
      <c r="BA197" s="269" t="e">
        <f t="shared" si="173"/>
        <v>#DIV/0!</v>
      </c>
      <c r="BB197" s="292" t="e">
        <f t="shared" si="174"/>
        <v>#DIV/0!</v>
      </c>
      <c r="BC197" s="238" t="e">
        <f>IF(SUM($BC$13:BC196)&gt;0,0,IF(BB197&gt;0,B197,0))</f>
        <v>#DIV/0!</v>
      </c>
      <c r="BD197" s="292" t="e">
        <f>IF(BB197+SUM($BD$12:BD196)&gt;=0,0,-BB197-SUM($BD$12:BD196))</f>
        <v>#DIV/0!</v>
      </c>
      <c r="BE197" s="235" t="e">
        <f>BB197+SUM($BD$12:BD197)</f>
        <v>#DIV/0!</v>
      </c>
      <c r="BF197" s="292" t="e">
        <f>-MIN(BE197:$BE$501)-SUM(BF$12:$BF196)</f>
        <v>#DIV/0!</v>
      </c>
      <c r="BG197" s="235" t="e">
        <f t="shared" si="139"/>
        <v>#DIV/0!</v>
      </c>
    </row>
    <row r="198" spans="2:59">
      <c r="B198" s="246">
        <v>185</v>
      </c>
      <c r="C198" s="241">
        <f t="shared" si="138"/>
        <v>48309</v>
      </c>
      <c r="D198" s="229">
        <f t="shared" si="140"/>
        <v>4</v>
      </c>
      <c r="E198" s="230" t="str">
        <f t="shared" si="141"/>
        <v>-</v>
      </c>
      <c r="F198" s="231">
        <f t="shared" si="142"/>
        <v>0</v>
      </c>
      <c r="G198" s="231">
        <f t="shared" si="143"/>
        <v>0</v>
      </c>
      <c r="H198" s="231">
        <f t="shared" si="144"/>
        <v>0</v>
      </c>
      <c r="I198" s="268">
        <f t="shared" si="129"/>
        <v>0</v>
      </c>
      <c r="J198" s="269">
        <f t="shared" si="145"/>
        <v>0</v>
      </c>
      <c r="K198" s="269">
        <f t="shared" si="146"/>
        <v>0</v>
      </c>
      <c r="L198" s="269">
        <f t="shared" si="130"/>
        <v>0</v>
      </c>
      <c r="M198" s="269">
        <f t="shared" si="131"/>
        <v>0</v>
      </c>
      <c r="N198" s="233">
        <f>VLOOKUP(B198,Dados!$L$86:$P$90,5)</f>
        <v>0</v>
      </c>
      <c r="O198" s="270">
        <f t="shared" si="147"/>
        <v>0.99999999999999989</v>
      </c>
      <c r="P198" s="269">
        <f t="shared" si="148"/>
        <v>0</v>
      </c>
      <c r="Q198" s="269" t="e">
        <f t="shared" si="149"/>
        <v>#DIV/0!</v>
      </c>
      <c r="R198" s="269">
        <f t="shared" si="150"/>
        <v>0</v>
      </c>
      <c r="S198" s="269" t="e">
        <f t="shared" si="151"/>
        <v>#DIV/0!</v>
      </c>
      <c r="T198" s="269" t="e">
        <f t="shared" si="137"/>
        <v>#DIV/0!</v>
      </c>
      <c r="U198" s="234">
        <f t="shared" si="152"/>
        <v>0</v>
      </c>
      <c r="V198" s="232" t="e">
        <f t="shared" si="153"/>
        <v>#DIV/0!</v>
      </c>
      <c r="W198" s="269" t="e">
        <f t="shared" si="154"/>
        <v>#DIV/0!</v>
      </c>
      <c r="X198" s="235">
        <f t="shared" si="132"/>
        <v>0</v>
      </c>
      <c r="Y198" s="236">
        <f t="shared" si="155"/>
        <v>5</v>
      </c>
      <c r="Z198" s="236" t="e">
        <f t="shared" si="156"/>
        <v>#DIV/0!</v>
      </c>
      <c r="AA198" s="236">
        <f t="shared" si="157"/>
        <v>3</v>
      </c>
      <c r="AB198" s="236" t="e">
        <f t="shared" si="158"/>
        <v>#DIV/0!</v>
      </c>
      <c r="AC198" s="235">
        <f t="shared" si="159"/>
        <v>0</v>
      </c>
      <c r="AD198" s="235">
        <f t="shared" si="160"/>
        <v>0</v>
      </c>
      <c r="AE198" s="279">
        <f t="shared" si="161"/>
        <v>0</v>
      </c>
      <c r="AF198" s="232">
        <f t="shared" si="162"/>
        <v>0</v>
      </c>
      <c r="AG198" s="235">
        <f t="shared" si="163"/>
        <v>0</v>
      </c>
      <c r="AH198" s="269">
        <f t="shared" si="164"/>
        <v>0</v>
      </c>
      <c r="AI198" s="232">
        <f t="shared" si="165"/>
        <v>0</v>
      </c>
      <c r="AJ198" s="235">
        <f t="shared" si="166"/>
        <v>0</v>
      </c>
      <c r="AK198" s="269">
        <f t="shared" si="167"/>
        <v>0</v>
      </c>
      <c r="AL198" s="269">
        <f t="shared" si="133"/>
        <v>0</v>
      </c>
      <c r="AM198" s="281" t="e">
        <f>IF(B198&gt;=mpfo,pos*vvm*Dados!$E$122*(ntudv-SUM(U199:$U$301))-SUM($AM$13:AM197),0)</f>
        <v>#DIV/0!</v>
      </c>
      <c r="AN198" s="269" t="e">
        <f t="shared" si="168"/>
        <v>#DIV/0!</v>
      </c>
      <c r="AO198" s="232" t="e">
        <f t="shared" si="169"/>
        <v>#DIV/0!</v>
      </c>
      <c r="AP198" s="242" t="e">
        <f t="shared" si="170"/>
        <v>#DIV/0!</v>
      </c>
      <c r="AQ198" s="235" t="e">
        <f>IF(AP198+SUM($AQ$12:AQ197)&gt;=0,0,-AP198-SUM($AQ$12:AQ197))</f>
        <v>#DIV/0!</v>
      </c>
      <c r="AR198" s="235">
        <f>IF(SUM($N$13:N197)&gt;=pmo,IF(SUM(N197:$N$501)&gt;(1-pmo),B198,0),0)</f>
        <v>0</v>
      </c>
      <c r="AS198" s="235" t="e">
        <f>IF((SUM($U$13:$U197)/ntudv)&gt;=pmv,IF((SUM($U197:$U$501)/ntudv)&gt;(1-pmv),B198,0),0)</f>
        <v>#DIV/0!</v>
      </c>
      <c r="AT198" s="237" t="e">
        <f>IF(MAX(mmo,mmv)=mmo,IF(B198=AR198,(SUM(N$13:$N197)-pmo)/((1-VLOOKUP(MAX(mmo,mmv)-1,$B$13:$O$501,14))+(VLOOKUP(MAX(mmo,mmv)-1,$B$13:$O$501,14)-pmo)),N197/((1-VLOOKUP(MAX(mmo,mmv)-1,$B$13:$O$501,14)+(VLOOKUP(MAX(mmo,mmv)-1,$B$13:$O$501,14)-pmo)))),N197/(1-VLOOKUP(MAX(mmo,mmv)-2,$B$13:$O$501,14)))</f>
        <v>#DIV/0!</v>
      </c>
      <c r="AU198" s="101" t="e">
        <f t="shared" si="134"/>
        <v>#DIV/0!</v>
      </c>
      <c r="AV198" s="287" t="e">
        <f t="shared" si="135"/>
        <v>#DIV/0!</v>
      </c>
      <c r="AW198" s="235" t="e">
        <f t="shared" si="171"/>
        <v>#DIV/0!</v>
      </c>
      <c r="AX198" s="281">
        <f>IF(B198&gt;mpfo,0,IF(B198=mpfo,(vld-teo*(1+tcfo-incc)^(MAX(mmo,mmv)-mbfo))*-1,IF(SUM($N$13:N197)&gt;=pmo,IF(($V197/ntudv)&gt;=pmv,IF(B198=MAX(mmo,mmv),-teo*(1+tcfo-incc)^(B198-mbfo),0),0),0)))</f>
        <v>0</v>
      </c>
      <c r="AY198" s="292" t="e">
        <f t="shared" si="136"/>
        <v>#DIV/0!</v>
      </c>
      <c r="AZ198" s="235" t="e">
        <f t="shared" si="172"/>
        <v>#DIV/0!</v>
      </c>
      <c r="BA198" s="269" t="e">
        <f t="shared" si="173"/>
        <v>#DIV/0!</v>
      </c>
      <c r="BB198" s="292" t="e">
        <f t="shared" si="174"/>
        <v>#DIV/0!</v>
      </c>
      <c r="BC198" s="238" t="e">
        <f>IF(SUM($BC$13:BC197)&gt;0,0,IF(BB198&gt;0,B198,0))</f>
        <v>#DIV/0!</v>
      </c>
      <c r="BD198" s="292" t="e">
        <f>IF(BB198+SUM($BD$12:BD197)&gt;=0,0,-BB198-SUM($BD$12:BD197))</f>
        <v>#DIV/0!</v>
      </c>
      <c r="BE198" s="235" t="e">
        <f>BB198+SUM($BD$12:BD198)</f>
        <v>#DIV/0!</v>
      </c>
      <c r="BF198" s="292" t="e">
        <f>-MIN(BE198:$BE$501)-SUM(BF$12:$BF197)</f>
        <v>#DIV/0!</v>
      </c>
      <c r="BG198" s="235" t="e">
        <f t="shared" si="139"/>
        <v>#DIV/0!</v>
      </c>
    </row>
    <row r="199" spans="2:59">
      <c r="B199" s="120">
        <v>186</v>
      </c>
      <c r="C199" s="241">
        <f t="shared" si="138"/>
        <v>48339</v>
      </c>
      <c r="D199" s="229">
        <f t="shared" si="140"/>
        <v>5</v>
      </c>
      <c r="E199" s="230" t="str">
        <f t="shared" si="141"/>
        <v>-</v>
      </c>
      <c r="F199" s="231">
        <f t="shared" si="142"/>
        <v>0</v>
      </c>
      <c r="G199" s="231">
        <f t="shared" si="143"/>
        <v>0</v>
      </c>
      <c r="H199" s="231">
        <f t="shared" si="144"/>
        <v>0</v>
      </c>
      <c r="I199" s="268">
        <f t="shared" si="129"/>
        <v>0</v>
      </c>
      <c r="J199" s="269">
        <f t="shared" si="145"/>
        <v>0</v>
      </c>
      <c r="K199" s="269">
        <f t="shared" si="146"/>
        <v>0</v>
      </c>
      <c r="L199" s="269">
        <f t="shared" si="130"/>
        <v>0</v>
      </c>
      <c r="M199" s="269">
        <f t="shared" si="131"/>
        <v>0</v>
      </c>
      <c r="N199" s="233">
        <f>VLOOKUP(B199,Dados!$L$86:$P$90,5)</f>
        <v>0</v>
      </c>
      <c r="O199" s="270">
        <f t="shared" si="147"/>
        <v>0.99999999999999989</v>
      </c>
      <c r="P199" s="269">
        <f t="shared" si="148"/>
        <v>0</v>
      </c>
      <c r="Q199" s="269" t="e">
        <f t="shared" si="149"/>
        <v>#DIV/0!</v>
      </c>
      <c r="R199" s="269">
        <f t="shared" si="150"/>
        <v>0</v>
      </c>
      <c r="S199" s="269" t="e">
        <f t="shared" si="151"/>
        <v>#DIV/0!</v>
      </c>
      <c r="T199" s="269" t="e">
        <f t="shared" si="137"/>
        <v>#DIV/0!</v>
      </c>
      <c r="U199" s="234">
        <f t="shared" si="152"/>
        <v>0</v>
      </c>
      <c r="V199" s="232" t="e">
        <f t="shared" si="153"/>
        <v>#DIV/0!</v>
      </c>
      <c r="W199" s="269" t="e">
        <f t="shared" si="154"/>
        <v>#DIV/0!</v>
      </c>
      <c r="X199" s="235">
        <f t="shared" si="132"/>
        <v>0</v>
      </c>
      <c r="Y199" s="236">
        <f t="shared" si="155"/>
        <v>5</v>
      </c>
      <c r="Z199" s="236" t="e">
        <f t="shared" si="156"/>
        <v>#DIV/0!</v>
      </c>
      <c r="AA199" s="236">
        <f t="shared" si="157"/>
        <v>3</v>
      </c>
      <c r="AB199" s="236" t="e">
        <f t="shared" si="158"/>
        <v>#DIV/0!</v>
      </c>
      <c r="AC199" s="235">
        <f t="shared" si="159"/>
        <v>0</v>
      </c>
      <c r="AD199" s="235">
        <f t="shared" si="160"/>
        <v>0</v>
      </c>
      <c r="AE199" s="279">
        <f t="shared" si="161"/>
        <v>0</v>
      </c>
      <c r="AF199" s="232">
        <f t="shared" si="162"/>
        <v>0</v>
      </c>
      <c r="AG199" s="235">
        <f t="shared" si="163"/>
        <v>0</v>
      </c>
      <c r="AH199" s="269">
        <f t="shared" si="164"/>
        <v>0</v>
      </c>
      <c r="AI199" s="232">
        <f t="shared" si="165"/>
        <v>0</v>
      </c>
      <c r="AJ199" s="235">
        <f t="shared" si="166"/>
        <v>0</v>
      </c>
      <c r="AK199" s="269">
        <f t="shared" si="167"/>
        <v>0</v>
      </c>
      <c r="AL199" s="269">
        <f t="shared" si="133"/>
        <v>0</v>
      </c>
      <c r="AM199" s="281" t="e">
        <f>IF(B199&gt;=mpfo,pos*vvm*Dados!$E$122*(ntudv-SUM(U200:$U$301))-SUM($AM$13:AM198),0)</f>
        <v>#DIV/0!</v>
      </c>
      <c r="AN199" s="269" t="e">
        <f t="shared" si="168"/>
        <v>#DIV/0!</v>
      </c>
      <c r="AO199" s="232" t="e">
        <f t="shared" si="169"/>
        <v>#DIV/0!</v>
      </c>
      <c r="AP199" s="242" t="e">
        <f t="shared" si="170"/>
        <v>#DIV/0!</v>
      </c>
      <c r="AQ199" s="235" t="e">
        <f>IF(AP199+SUM($AQ$12:AQ198)&gt;=0,0,-AP199-SUM($AQ$12:AQ198))</f>
        <v>#DIV/0!</v>
      </c>
      <c r="AR199" s="235">
        <f>IF(SUM($N$13:N198)&gt;=pmo,IF(SUM(N198:$N$501)&gt;(1-pmo),B199,0),0)</f>
        <v>0</v>
      </c>
      <c r="AS199" s="235" t="e">
        <f>IF((SUM($U$13:$U198)/ntudv)&gt;=pmv,IF((SUM($U198:$U$501)/ntudv)&gt;(1-pmv),B199,0),0)</f>
        <v>#DIV/0!</v>
      </c>
      <c r="AT199" s="237" t="e">
        <f>IF(MAX(mmo,mmv)=mmo,IF(B199=AR199,(SUM(N$13:$N198)-pmo)/((1-VLOOKUP(MAX(mmo,mmv)-1,$B$13:$O$501,14))+(VLOOKUP(MAX(mmo,mmv)-1,$B$13:$O$501,14)-pmo)),N198/((1-VLOOKUP(MAX(mmo,mmv)-1,$B$13:$O$501,14)+(VLOOKUP(MAX(mmo,mmv)-1,$B$13:$O$501,14)-pmo)))),N198/(1-VLOOKUP(MAX(mmo,mmv)-2,$B$13:$O$501,14)))</f>
        <v>#DIV/0!</v>
      </c>
      <c r="AU199" s="101" t="e">
        <f t="shared" si="134"/>
        <v>#DIV/0!</v>
      </c>
      <c r="AV199" s="287" t="e">
        <f t="shared" si="135"/>
        <v>#DIV/0!</v>
      </c>
      <c r="AW199" s="235" t="e">
        <f t="shared" si="171"/>
        <v>#DIV/0!</v>
      </c>
      <c r="AX199" s="281">
        <f>IF(B199&gt;mpfo,0,IF(B199=mpfo,(vld-teo*(1+tcfo-incc)^(MAX(mmo,mmv)-mbfo))*-1,IF(SUM($N$13:N198)&gt;=pmo,IF(($V198/ntudv)&gt;=pmv,IF(B199=MAX(mmo,mmv),-teo*(1+tcfo-incc)^(B199-mbfo),0),0),0)))</f>
        <v>0</v>
      </c>
      <c r="AY199" s="292" t="e">
        <f t="shared" si="136"/>
        <v>#DIV/0!</v>
      </c>
      <c r="AZ199" s="235" t="e">
        <f t="shared" si="172"/>
        <v>#DIV/0!</v>
      </c>
      <c r="BA199" s="269" t="e">
        <f t="shared" si="173"/>
        <v>#DIV/0!</v>
      </c>
      <c r="BB199" s="292" t="e">
        <f t="shared" si="174"/>
        <v>#DIV/0!</v>
      </c>
      <c r="BC199" s="238" t="e">
        <f>IF(SUM($BC$13:BC198)&gt;0,0,IF(BB199&gt;0,B199,0))</f>
        <v>#DIV/0!</v>
      </c>
      <c r="BD199" s="292" t="e">
        <f>IF(BB199+SUM($BD$12:BD198)&gt;=0,0,-BB199-SUM($BD$12:BD198))</f>
        <v>#DIV/0!</v>
      </c>
      <c r="BE199" s="235" t="e">
        <f>BB199+SUM($BD$12:BD199)</f>
        <v>#DIV/0!</v>
      </c>
      <c r="BF199" s="292" t="e">
        <f>-MIN(BE199:$BE$501)-SUM(BF$12:$BF198)</f>
        <v>#DIV/0!</v>
      </c>
      <c r="BG199" s="235" t="e">
        <f t="shared" si="139"/>
        <v>#DIV/0!</v>
      </c>
    </row>
    <row r="200" spans="2:59">
      <c r="B200" s="246">
        <v>187</v>
      </c>
      <c r="C200" s="241">
        <f t="shared" si="138"/>
        <v>48370</v>
      </c>
      <c r="D200" s="229">
        <f t="shared" si="140"/>
        <v>6</v>
      </c>
      <c r="E200" s="230" t="str">
        <f t="shared" si="141"/>
        <v>-</v>
      </c>
      <c r="F200" s="231">
        <f t="shared" si="142"/>
        <v>0</v>
      </c>
      <c r="G200" s="231">
        <f t="shared" si="143"/>
        <v>0</v>
      </c>
      <c r="H200" s="231">
        <f t="shared" si="144"/>
        <v>0</v>
      </c>
      <c r="I200" s="268">
        <f t="shared" si="129"/>
        <v>0</v>
      </c>
      <c r="J200" s="269">
        <f t="shared" si="145"/>
        <v>0</v>
      </c>
      <c r="K200" s="269">
        <f t="shared" si="146"/>
        <v>0</v>
      </c>
      <c r="L200" s="269">
        <f t="shared" si="130"/>
        <v>0</v>
      </c>
      <c r="M200" s="269">
        <f t="shared" si="131"/>
        <v>0</v>
      </c>
      <c r="N200" s="233">
        <f>VLOOKUP(B200,Dados!$L$86:$P$90,5)</f>
        <v>0</v>
      </c>
      <c r="O200" s="270">
        <f t="shared" si="147"/>
        <v>0.99999999999999989</v>
      </c>
      <c r="P200" s="269">
        <f t="shared" si="148"/>
        <v>0</v>
      </c>
      <c r="Q200" s="269" t="e">
        <f t="shared" si="149"/>
        <v>#DIV/0!</v>
      </c>
      <c r="R200" s="269">
        <f t="shared" si="150"/>
        <v>0</v>
      </c>
      <c r="S200" s="269" t="e">
        <f t="shared" si="151"/>
        <v>#DIV/0!</v>
      </c>
      <c r="T200" s="269" t="e">
        <f t="shared" si="137"/>
        <v>#DIV/0!</v>
      </c>
      <c r="U200" s="234">
        <f t="shared" si="152"/>
        <v>0</v>
      </c>
      <c r="V200" s="232" t="e">
        <f t="shared" si="153"/>
        <v>#DIV/0!</v>
      </c>
      <c r="W200" s="269" t="e">
        <f t="shared" si="154"/>
        <v>#DIV/0!</v>
      </c>
      <c r="X200" s="235">
        <f t="shared" si="132"/>
        <v>0</v>
      </c>
      <c r="Y200" s="236">
        <f t="shared" si="155"/>
        <v>5</v>
      </c>
      <c r="Z200" s="236" t="e">
        <f t="shared" si="156"/>
        <v>#DIV/0!</v>
      </c>
      <c r="AA200" s="236">
        <f t="shared" si="157"/>
        <v>3</v>
      </c>
      <c r="AB200" s="236" t="e">
        <f t="shared" si="158"/>
        <v>#DIV/0!</v>
      </c>
      <c r="AC200" s="235">
        <f t="shared" si="159"/>
        <v>0</v>
      </c>
      <c r="AD200" s="235">
        <f t="shared" si="160"/>
        <v>0</v>
      </c>
      <c r="AE200" s="279">
        <f t="shared" si="161"/>
        <v>0</v>
      </c>
      <c r="AF200" s="232">
        <f t="shared" si="162"/>
        <v>1</v>
      </c>
      <c r="AG200" s="235">
        <f t="shared" si="163"/>
        <v>0</v>
      </c>
      <c r="AH200" s="269">
        <f t="shared" si="164"/>
        <v>0</v>
      </c>
      <c r="AI200" s="232">
        <f t="shared" si="165"/>
        <v>0</v>
      </c>
      <c r="AJ200" s="235">
        <f t="shared" si="166"/>
        <v>0</v>
      </c>
      <c r="AK200" s="269">
        <f t="shared" si="167"/>
        <v>0</v>
      </c>
      <c r="AL200" s="269">
        <f t="shared" si="133"/>
        <v>0</v>
      </c>
      <c r="AM200" s="281" t="e">
        <f>IF(B200&gt;=mpfo,pos*vvm*Dados!$E$122*(ntudv-SUM(U201:$U$301))-SUM($AM$13:AM199),0)</f>
        <v>#DIV/0!</v>
      </c>
      <c r="AN200" s="269" t="e">
        <f t="shared" si="168"/>
        <v>#DIV/0!</v>
      </c>
      <c r="AO200" s="232" t="e">
        <f t="shared" si="169"/>
        <v>#DIV/0!</v>
      </c>
      <c r="AP200" s="242" t="e">
        <f t="shared" si="170"/>
        <v>#DIV/0!</v>
      </c>
      <c r="AQ200" s="235" t="e">
        <f>IF(AP200+SUM($AQ$12:AQ199)&gt;=0,0,-AP200-SUM($AQ$12:AQ199))</f>
        <v>#DIV/0!</v>
      </c>
      <c r="AR200" s="235">
        <f>IF(SUM($N$13:N199)&gt;=pmo,IF(SUM(N199:$N$501)&gt;(1-pmo),B200,0),0)</f>
        <v>0</v>
      </c>
      <c r="AS200" s="235" t="e">
        <f>IF((SUM($U$13:$U199)/ntudv)&gt;=pmv,IF((SUM($U199:$U$501)/ntudv)&gt;(1-pmv),B200,0),0)</f>
        <v>#DIV/0!</v>
      </c>
      <c r="AT200" s="237" t="e">
        <f>IF(MAX(mmo,mmv)=mmo,IF(B200=AR200,(SUM(N$13:$N199)-pmo)/((1-VLOOKUP(MAX(mmo,mmv)-1,$B$13:$O$501,14))+(VLOOKUP(MAX(mmo,mmv)-1,$B$13:$O$501,14)-pmo)),N199/((1-VLOOKUP(MAX(mmo,mmv)-1,$B$13:$O$501,14)+(VLOOKUP(MAX(mmo,mmv)-1,$B$13:$O$501,14)-pmo)))),N199/(1-VLOOKUP(MAX(mmo,mmv)-2,$B$13:$O$501,14)))</f>
        <v>#DIV/0!</v>
      </c>
      <c r="AU200" s="101" t="e">
        <f t="shared" si="134"/>
        <v>#DIV/0!</v>
      </c>
      <c r="AV200" s="287" t="e">
        <f t="shared" si="135"/>
        <v>#DIV/0!</v>
      </c>
      <c r="AW200" s="235" t="e">
        <f t="shared" si="171"/>
        <v>#DIV/0!</v>
      </c>
      <c r="AX200" s="281">
        <f>IF(B200&gt;mpfo,0,IF(B200=mpfo,(vld-teo*(1+tcfo-incc)^(MAX(mmo,mmv)-mbfo))*-1,IF(SUM($N$13:N199)&gt;=pmo,IF(($V199/ntudv)&gt;=pmv,IF(B200=MAX(mmo,mmv),-teo*(1+tcfo-incc)^(B200-mbfo),0),0),0)))</f>
        <v>0</v>
      </c>
      <c r="AY200" s="292" t="e">
        <f t="shared" si="136"/>
        <v>#DIV/0!</v>
      </c>
      <c r="AZ200" s="235" t="e">
        <f t="shared" si="172"/>
        <v>#DIV/0!</v>
      </c>
      <c r="BA200" s="269" t="e">
        <f t="shared" si="173"/>
        <v>#DIV/0!</v>
      </c>
      <c r="BB200" s="292" t="e">
        <f t="shared" si="174"/>
        <v>#DIV/0!</v>
      </c>
      <c r="BC200" s="238" t="e">
        <f>IF(SUM($BC$13:BC199)&gt;0,0,IF(BB200&gt;0,B200,0))</f>
        <v>#DIV/0!</v>
      </c>
      <c r="BD200" s="292" t="e">
        <f>IF(BB200+SUM($BD$12:BD199)&gt;=0,0,-BB200-SUM($BD$12:BD199))</f>
        <v>#DIV/0!</v>
      </c>
      <c r="BE200" s="235" t="e">
        <f>BB200+SUM($BD$12:BD200)</f>
        <v>#DIV/0!</v>
      </c>
      <c r="BF200" s="292" t="e">
        <f>-MIN(BE200:$BE$501)-SUM(BF$12:$BF199)</f>
        <v>#DIV/0!</v>
      </c>
      <c r="BG200" s="235" t="e">
        <f t="shared" si="139"/>
        <v>#DIV/0!</v>
      </c>
    </row>
    <row r="201" spans="2:59">
      <c r="B201" s="120">
        <v>188</v>
      </c>
      <c r="C201" s="241">
        <f t="shared" si="138"/>
        <v>48400</v>
      </c>
      <c r="D201" s="229">
        <f t="shared" si="140"/>
        <v>7</v>
      </c>
      <c r="E201" s="230" t="str">
        <f t="shared" si="141"/>
        <v>-</v>
      </c>
      <c r="F201" s="231">
        <f t="shared" si="142"/>
        <v>0</v>
      </c>
      <c r="G201" s="231">
        <f t="shared" si="143"/>
        <v>0</v>
      </c>
      <c r="H201" s="231">
        <f t="shared" si="144"/>
        <v>0</v>
      </c>
      <c r="I201" s="268">
        <f t="shared" si="129"/>
        <v>0</v>
      </c>
      <c r="J201" s="269">
        <f t="shared" si="145"/>
        <v>0</v>
      </c>
      <c r="K201" s="269">
        <f t="shared" si="146"/>
        <v>0</v>
      </c>
      <c r="L201" s="269">
        <f t="shared" si="130"/>
        <v>0</v>
      </c>
      <c r="M201" s="269">
        <f t="shared" si="131"/>
        <v>0</v>
      </c>
      <c r="N201" s="233">
        <f>VLOOKUP(B201,Dados!$L$86:$P$90,5)</f>
        <v>0</v>
      </c>
      <c r="O201" s="270">
        <f t="shared" si="147"/>
        <v>0.99999999999999989</v>
      </c>
      <c r="P201" s="269">
        <f t="shared" si="148"/>
        <v>0</v>
      </c>
      <c r="Q201" s="269" t="e">
        <f t="shared" si="149"/>
        <v>#DIV/0!</v>
      </c>
      <c r="R201" s="269">
        <f t="shared" si="150"/>
        <v>0</v>
      </c>
      <c r="S201" s="269" t="e">
        <f t="shared" si="151"/>
        <v>#DIV/0!</v>
      </c>
      <c r="T201" s="269" t="e">
        <f t="shared" si="137"/>
        <v>#DIV/0!</v>
      </c>
      <c r="U201" s="234">
        <f t="shared" si="152"/>
        <v>0</v>
      </c>
      <c r="V201" s="232" t="e">
        <f t="shared" si="153"/>
        <v>#DIV/0!</v>
      </c>
      <c r="W201" s="269" t="e">
        <f t="shared" si="154"/>
        <v>#DIV/0!</v>
      </c>
      <c r="X201" s="235">
        <f t="shared" si="132"/>
        <v>0</v>
      </c>
      <c r="Y201" s="236">
        <f t="shared" si="155"/>
        <v>5</v>
      </c>
      <c r="Z201" s="236" t="e">
        <f t="shared" si="156"/>
        <v>#DIV/0!</v>
      </c>
      <c r="AA201" s="236">
        <f t="shared" si="157"/>
        <v>3</v>
      </c>
      <c r="AB201" s="236" t="e">
        <f t="shared" si="158"/>
        <v>#DIV/0!</v>
      </c>
      <c r="AC201" s="235">
        <f t="shared" si="159"/>
        <v>0</v>
      </c>
      <c r="AD201" s="235">
        <f t="shared" si="160"/>
        <v>0</v>
      </c>
      <c r="AE201" s="279">
        <f t="shared" si="161"/>
        <v>0</v>
      </c>
      <c r="AF201" s="232">
        <f t="shared" si="162"/>
        <v>0</v>
      </c>
      <c r="AG201" s="235">
        <f t="shared" si="163"/>
        <v>0</v>
      </c>
      <c r="AH201" s="269">
        <f t="shared" si="164"/>
        <v>0</v>
      </c>
      <c r="AI201" s="232">
        <f t="shared" si="165"/>
        <v>0</v>
      </c>
      <c r="AJ201" s="235">
        <f t="shared" si="166"/>
        <v>0</v>
      </c>
      <c r="AK201" s="269">
        <f t="shared" si="167"/>
        <v>0</v>
      </c>
      <c r="AL201" s="269">
        <f t="shared" si="133"/>
        <v>0</v>
      </c>
      <c r="AM201" s="281" t="e">
        <f>IF(B201&gt;=mpfo,pos*vvm*Dados!$E$122*(ntudv-SUM(U202:$U$301))-SUM($AM$13:AM200),0)</f>
        <v>#DIV/0!</v>
      </c>
      <c r="AN201" s="269" t="e">
        <f t="shared" si="168"/>
        <v>#DIV/0!</v>
      </c>
      <c r="AO201" s="232" t="e">
        <f t="shared" si="169"/>
        <v>#DIV/0!</v>
      </c>
      <c r="AP201" s="242" t="e">
        <f t="shared" si="170"/>
        <v>#DIV/0!</v>
      </c>
      <c r="AQ201" s="235" t="e">
        <f>IF(AP201+SUM($AQ$12:AQ200)&gt;=0,0,-AP201-SUM($AQ$12:AQ200))</f>
        <v>#DIV/0!</v>
      </c>
      <c r="AR201" s="235">
        <f>IF(SUM($N$13:N200)&gt;=pmo,IF(SUM(N200:$N$501)&gt;(1-pmo),B201,0),0)</f>
        <v>0</v>
      </c>
      <c r="AS201" s="235" t="e">
        <f>IF((SUM($U$13:$U200)/ntudv)&gt;=pmv,IF((SUM($U200:$U$501)/ntudv)&gt;(1-pmv),B201,0),0)</f>
        <v>#DIV/0!</v>
      </c>
      <c r="AT201" s="237" t="e">
        <f>IF(MAX(mmo,mmv)=mmo,IF(B201=AR201,(SUM(N$13:$N200)-pmo)/((1-VLOOKUP(MAX(mmo,mmv)-1,$B$13:$O$501,14))+(VLOOKUP(MAX(mmo,mmv)-1,$B$13:$O$501,14)-pmo)),N200/((1-VLOOKUP(MAX(mmo,mmv)-1,$B$13:$O$501,14)+(VLOOKUP(MAX(mmo,mmv)-1,$B$13:$O$501,14)-pmo)))),N200/(1-VLOOKUP(MAX(mmo,mmv)-2,$B$13:$O$501,14)))</f>
        <v>#DIV/0!</v>
      </c>
      <c r="AU201" s="101" t="e">
        <f t="shared" si="134"/>
        <v>#DIV/0!</v>
      </c>
      <c r="AV201" s="287" t="e">
        <f t="shared" si="135"/>
        <v>#DIV/0!</v>
      </c>
      <c r="AW201" s="235" t="e">
        <f t="shared" si="171"/>
        <v>#DIV/0!</v>
      </c>
      <c r="AX201" s="281">
        <f>IF(B201&gt;mpfo,0,IF(B201=mpfo,(vld-teo*(1+tcfo-incc)^(MAX(mmo,mmv)-mbfo))*-1,IF(SUM($N$13:N200)&gt;=pmo,IF(($V200/ntudv)&gt;=pmv,IF(B201=MAX(mmo,mmv),-teo*(1+tcfo-incc)^(B201-mbfo),0),0),0)))</f>
        <v>0</v>
      </c>
      <c r="AY201" s="292" t="e">
        <f t="shared" si="136"/>
        <v>#DIV/0!</v>
      </c>
      <c r="AZ201" s="235" t="e">
        <f t="shared" si="172"/>
        <v>#DIV/0!</v>
      </c>
      <c r="BA201" s="269" t="e">
        <f t="shared" si="173"/>
        <v>#DIV/0!</v>
      </c>
      <c r="BB201" s="292" t="e">
        <f t="shared" si="174"/>
        <v>#DIV/0!</v>
      </c>
      <c r="BC201" s="238" t="e">
        <f>IF(SUM($BC$13:BC200)&gt;0,0,IF(BB201&gt;0,B201,0))</f>
        <v>#DIV/0!</v>
      </c>
      <c r="BD201" s="292" t="e">
        <f>IF(BB201+SUM($BD$12:BD200)&gt;=0,0,-BB201-SUM($BD$12:BD200))</f>
        <v>#DIV/0!</v>
      </c>
      <c r="BE201" s="235" t="e">
        <f>BB201+SUM($BD$12:BD201)</f>
        <v>#DIV/0!</v>
      </c>
      <c r="BF201" s="292" t="e">
        <f>-MIN(BE201:$BE$501)-SUM(BF$12:$BF200)</f>
        <v>#DIV/0!</v>
      </c>
      <c r="BG201" s="235" t="e">
        <f t="shared" si="139"/>
        <v>#DIV/0!</v>
      </c>
    </row>
    <row r="202" spans="2:59">
      <c r="B202" s="246">
        <v>189</v>
      </c>
      <c r="C202" s="241">
        <f t="shared" si="138"/>
        <v>48431</v>
      </c>
      <c r="D202" s="229">
        <f t="shared" si="140"/>
        <v>8</v>
      </c>
      <c r="E202" s="230" t="str">
        <f t="shared" si="141"/>
        <v>-</v>
      </c>
      <c r="F202" s="231">
        <f t="shared" si="142"/>
        <v>0</v>
      </c>
      <c r="G202" s="231">
        <f t="shared" si="143"/>
        <v>0</v>
      </c>
      <c r="H202" s="231">
        <f t="shared" si="144"/>
        <v>0</v>
      </c>
      <c r="I202" s="268">
        <f t="shared" si="129"/>
        <v>0</v>
      </c>
      <c r="J202" s="269">
        <f t="shared" si="145"/>
        <v>0</v>
      </c>
      <c r="K202" s="269">
        <f t="shared" si="146"/>
        <v>0</v>
      </c>
      <c r="L202" s="269">
        <f t="shared" si="130"/>
        <v>0</v>
      </c>
      <c r="M202" s="269">
        <f t="shared" si="131"/>
        <v>0</v>
      </c>
      <c r="N202" s="233">
        <f>VLOOKUP(B202,Dados!$L$86:$P$90,5)</f>
        <v>0</v>
      </c>
      <c r="O202" s="270">
        <f t="shared" si="147"/>
        <v>0.99999999999999989</v>
      </c>
      <c r="P202" s="269">
        <f t="shared" si="148"/>
        <v>0</v>
      </c>
      <c r="Q202" s="269" t="e">
        <f t="shared" si="149"/>
        <v>#DIV/0!</v>
      </c>
      <c r="R202" s="269">
        <f t="shared" si="150"/>
        <v>0</v>
      </c>
      <c r="S202" s="269" t="e">
        <f t="shared" si="151"/>
        <v>#DIV/0!</v>
      </c>
      <c r="T202" s="269" t="e">
        <f t="shared" si="137"/>
        <v>#DIV/0!</v>
      </c>
      <c r="U202" s="234">
        <f t="shared" si="152"/>
        <v>0</v>
      </c>
      <c r="V202" s="232" t="e">
        <f t="shared" si="153"/>
        <v>#DIV/0!</v>
      </c>
      <c r="W202" s="269" t="e">
        <f t="shared" si="154"/>
        <v>#DIV/0!</v>
      </c>
      <c r="X202" s="235">
        <f t="shared" si="132"/>
        <v>0</v>
      </c>
      <c r="Y202" s="236">
        <f t="shared" si="155"/>
        <v>5</v>
      </c>
      <c r="Z202" s="236" t="e">
        <f t="shared" si="156"/>
        <v>#DIV/0!</v>
      </c>
      <c r="AA202" s="236">
        <f t="shared" si="157"/>
        <v>3</v>
      </c>
      <c r="AB202" s="236" t="e">
        <f t="shared" si="158"/>
        <v>#DIV/0!</v>
      </c>
      <c r="AC202" s="235">
        <f t="shared" si="159"/>
        <v>0</v>
      </c>
      <c r="AD202" s="235">
        <f t="shared" si="160"/>
        <v>0</v>
      </c>
      <c r="AE202" s="279">
        <f t="shared" si="161"/>
        <v>0</v>
      </c>
      <c r="AF202" s="232">
        <f t="shared" si="162"/>
        <v>0</v>
      </c>
      <c r="AG202" s="235">
        <f t="shared" si="163"/>
        <v>0</v>
      </c>
      <c r="AH202" s="269">
        <f t="shared" si="164"/>
        <v>0</v>
      </c>
      <c r="AI202" s="232">
        <f t="shared" si="165"/>
        <v>0</v>
      </c>
      <c r="AJ202" s="235">
        <f t="shared" si="166"/>
        <v>0</v>
      </c>
      <c r="AK202" s="269">
        <f t="shared" si="167"/>
        <v>0</v>
      </c>
      <c r="AL202" s="269">
        <f t="shared" si="133"/>
        <v>0</v>
      </c>
      <c r="AM202" s="281" t="e">
        <f>IF(B202&gt;=mpfo,pos*vvm*Dados!$E$122*(ntudv-SUM(U203:$U$301))-SUM($AM$13:AM201),0)</f>
        <v>#DIV/0!</v>
      </c>
      <c r="AN202" s="269" t="e">
        <f t="shared" si="168"/>
        <v>#DIV/0!</v>
      </c>
      <c r="AO202" s="232" t="e">
        <f t="shared" si="169"/>
        <v>#DIV/0!</v>
      </c>
      <c r="AP202" s="242" t="e">
        <f t="shared" si="170"/>
        <v>#DIV/0!</v>
      </c>
      <c r="AQ202" s="235" t="e">
        <f>IF(AP202+SUM($AQ$12:AQ201)&gt;=0,0,-AP202-SUM($AQ$12:AQ201))</f>
        <v>#DIV/0!</v>
      </c>
      <c r="AR202" s="235">
        <f>IF(SUM($N$13:N201)&gt;=pmo,IF(SUM(N201:$N$501)&gt;(1-pmo),B202,0),0)</f>
        <v>0</v>
      </c>
      <c r="AS202" s="235" t="e">
        <f>IF((SUM($U$13:$U201)/ntudv)&gt;=pmv,IF((SUM($U201:$U$501)/ntudv)&gt;(1-pmv),B202,0),0)</f>
        <v>#DIV/0!</v>
      </c>
      <c r="AT202" s="237" t="e">
        <f>IF(MAX(mmo,mmv)=mmo,IF(B202=AR202,(SUM(N$13:$N201)-pmo)/((1-VLOOKUP(MAX(mmo,mmv)-1,$B$13:$O$501,14))+(VLOOKUP(MAX(mmo,mmv)-1,$B$13:$O$501,14)-pmo)),N201/((1-VLOOKUP(MAX(mmo,mmv)-1,$B$13:$O$501,14)+(VLOOKUP(MAX(mmo,mmv)-1,$B$13:$O$501,14)-pmo)))),N201/(1-VLOOKUP(MAX(mmo,mmv)-2,$B$13:$O$501,14)))</f>
        <v>#DIV/0!</v>
      </c>
      <c r="AU202" s="101" t="e">
        <f t="shared" si="134"/>
        <v>#DIV/0!</v>
      </c>
      <c r="AV202" s="287" t="e">
        <f t="shared" si="135"/>
        <v>#DIV/0!</v>
      </c>
      <c r="AW202" s="235" t="e">
        <f t="shared" si="171"/>
        <v>#DIV/0!</v>
      </c>
      <c r="AX202" s="281">
        <f>IF(B202&gt;mpfo,0,IF(B202=mpfo,(vld-teo*(1+tcfo-incc)^(MAX(mmo,mmv)-mbfo))*-1,IF(SUM($N$13:N201)&gt;=pmo,IF(($V201/ntudv)&gt;=pmv,IF(B202=MAX(mmo,mmv),-teo*(1+tcfo-incc)^(B202-mbfo),0),0),0)))</f>
        <v>0</v>
      </c>
      <c r="AY202" s="292" t="e">
        <f t="shared" si="136"/>
        <v>#DIV/0!</v>
      </c>
      <c r="AZ202" s="235" t="e">
        <f t="shared" si="172"/>
        <v>#DIV/0!</v>
      </c>
      <c r="BA202" s="269" t="e">
        <f t="shared" si="173"/>
        <v>#DIV/0!</v>
      </c>
      <c r="BB202" s="292" t="e">
        <f t="shared" si="174"/>
        <v>#DIV/0!</v>
      </c>
      <c r="BC202" s="238" t="e">
        <f>IF(SUM($BC$13:BC201)&gt;0,0,IF(BB202&gt;0,B202,0))</f>
        <v>#DIV/0!</v>
      </c>
      <c r="BD202" s="292" t="e">
        <f>IF(BB202+SUM($BD$12:BD201)&gt;=0,0,-BB202-SUM($BD$12:BD201))</f>
        <v>#DIV/0!</v>
      </c>
      <c r="BE202" s="235" t="e">
        <f>BB202+SUM($BD$12:BD202)</f>
        <v>#DIV/0!</v>
      </c>
      <c r="BF202" s="292" t="e">
        <f>-MIN(BE202:$BE$501)-SUM(BF$12:$BF201)</f>
        <v>#DIV/0!</v>
      </c>
      <c r="BG202" s="235" t="e">
        <f t="shared" si="139"/>
        <v>#DIV/0!</v>
      </c>
    </row>
    <row r="203" spans="2:59">
      <c r="B203" s="120">
        <v>190</v>
      </c>
      <c r="C203" s="241">
        <f t="shared" si="138"/>
        <v>48462</v>
      </c>
      <c r="D203" s="229">
        <f t="shared" si="140"/>
        <v>9</v>
      </c>
      <c r="E203" s="230" t="str">
        <f t="shared" si="141"/>
        <v>-</v>
      </c>
      <c r="F203" s="231">
        <f t="shared" si="142"/>
        <v>0</v>
      </c>
      <c r="G203" s="231">
        <f t="shared" si="143"/>
        <v>0</v>
      </c>
      <c r="H203" s="231">
        <f t="shared" si="144"/>
        <v>0</v>
      </c>
      <c r="I203" s="268">
        <f t="shared" si="129"/>
        <v>0</v>
      </c>
      <c r="J203" s="269">
        <f t="shared" si="145"/>
        <v>0</v>
      </c>
      <c r="K203" s="269">
        <f t="shared" si="146"/>
        <v>0</v>
      </c>
      <c r="L203" s="269">
        <f t="shared" si="130"/>
        <v>0</v>
      </c>
      <c r="M203" s="269">
        <f t="shared" si="131"/>
        <v>0</v>
      </c>
      <c r="N203" s="233">
        <f>VLOOKUP(B203,Dados!$L$86:$P$90,5)</f>
        <v>0</v>
      </c>
      <c r="O203" s="270">
        <f t="shared" si="147"/>
        <v>0.99999999999999989</v>
      </c>
      <c r="P203" s="269">
        <f t="shared" si="148"/>
        <v>0</v>
      </c>
      <c r="Q203" s="269" t="e">
        <f t="shared" si="149"/>
        <v>#DIV/0!</v>
      </c>
      <c r="R203" s="269">
        <f t="shared" si="150"/>
        <v>0</v>
      </c>
      <c r="S203" s="269" t="e">
        <f t="shared" si="151"/>
        <v>#DIV/0!</v>
      </c>
      <c r="T203" s="269" t="e">
        <f t="shared" si="137"/>
        <v>#DIV/0!</v>
      </c>
      <c r="U203" s="234">
        <f t="shared" si="152"/>
        <v>0</v>
      </c>
      <c r="V203" s="232" t="e">
        <f t="shared" si="153"/>
        <v>#DIV/0!</v>
      </c>
      <c r="W203" s="269" t="e">
        <f t="shared" si="154"/>
        <v>#DIV/0!</v>
      </c>
      <c r="X203" s="235">
        <f t="shared" si="132"/>
        <v>0</v>
      </c>
      <c r="Y203" s="236">
        <f t="shared" si="155"/>
        <v>5</v>
      </c>
      <c r="Z203" s="236" t="e">
        <f t="shared" si="156"/>
        <v>#DIV/0!</v>
      </c>
      <c r="AA203" s="236">
        <f t="shared" si="157"/>
        <v>3</v>
      </c>
      <c r="AB203" s="236" t="e">
        <f t="shared" si="158"/>
        <v>#DIV/0!</v>
      </c>
      <c r="AC203" s="235">
        <f t="shared" si="159"/>
        <v>0</v>
      </c>
      <c r="AD203" s="235">
        <f t="shared" si="160"/>
        <v>0</v>
      </c>
      <c r="AE203" s="279">
        <f t="shared" si="161"/>
        <v>0</v>
      </c>
      <c r="AF203" s="232">
        <f t="shared" si="162"/>
        <v>0</v>
      </c>
      <c r="AG203" s="235">
        <f t="shared" si="163"/>
        <v>0</v>
      </c>
      <c r="AH203" s="269">
        <f t="shared" si="164"/>
        <v>0</v>
      </c>
      <c r="AI203" s="232">
        <f t="shared" si="165"/>
        <v>0</v>
      </c>
      <c r="AJ203" s="235">
        <f t="shared" si="166"/>
        <v>0</v>
      </c>
      <c r="AK203" s="269">
        <f t="shared" si="167"/>
        <v>0</v>
      </c>
      <c r="AL203" s="269">
        <f t="shared" si="133"/>
        <v>0</v>
      </c>
      <c r="AM203" s="281" t="e">
        <f>IF(B203&gt;=mpfo,pos*vvm*Dados!$E$122*(ntudv-SUM(U204:$U$301))-SUM($AM$13:AM202),0)</f>
        <v>#DIV/0!</v>
      </c>
      <c r="AN203" s="269" t="e">
        <f t="shared" si="168"/>
        <v>#DIV/0!</v>
      </c>
      <c r="AO203" s="232" t="e">
        <f t="shared" si="169"/>
        <v>#DIV/0!</v>
      </c>
      <c r="AP203" s="242" t="e">
        <f t="shared" si="170"/>
        <v>#DIV/0!</v>
      </c>
      <c r="AQ203" s="235" t="e">
        <f>IF(AP203+SUM($AQ$12:AQ202)&gt;=0,0,-AP203-SUM($AQ$12:AQ202))</f>
        <v>#DIV/0!</v>
      </c>
      <c r="AR203" s="235">
        <f>IF(SUM($N$13:N202)&gt;=pmo,IF(SUM(N202:$N$501)&gt;(1-pmo),B203,0),0)</f>
        <v>0</v>
      </c>
      <c r="AS203" s="235" t="e">
        <f>IF((SUM($U$13:$U202)/ntudv)&gt;=pmv,IF((SUM($U202:$U$501)/ntudv)&gt;(1-pmv),B203,0),0)</f>
        <v>#DIV/0!</v>
      </c>
      <c r="AT203" s="237" t="e">
        <f>IF(MAX(mmo,mmv)=mmo,IF(B203=AR203,(SUM(N$13:$N202)-pmo)/((1-VLOOKUP(MAX(mmo,mmv)-1,$B$13:$O$501,14))+(VLOOKUP(MAX(mmo,mmv)-1,$B$13:$O$501,14)-pmo)),N202/((1-VLOOKUP(MAX(mmo,mmv)-1,$B$13:$O$501,14)+(VLOOKUP(MAX(mmo,mmv)-1,$B$13:$O$501,14)-pmo)))),N202/(1-VLOOKUP(MAX(mmo,mmv)-2,$B$13:$O$501,14)))</f>
        <v>#DIV/0!</v>
      </c>
      <c r="AU203" s="101" t="e">
        <f t="shared" si="134"/>
        <v>#DIV/0!</v>
      </c>
      <c r="AV203" s="287" t="e">
        <f t="shared" si="135"/>
        <v>#DIV/0!</v>
      </c>
      <c r="AW203" s="235" t="e">
        <f t="shared" si="171"/>
        <v>#DIV/0!</v>
      </c>
      <c r="AX203" s="281">
        <f>IF(B203&gt;mpfo,0,IF(B203=mpfo,(vld-teo*(1+tcfo-incc)^(MAX(mmo,mmv)-mbfo))*-1,IF(SUM($N$13:N202)&gt;=pmo,IF(($V202/ntudv)&gt;=pmv,IF(B203=MAX(mmo,mmv),-teo*(1+tcfo-incc)^(B203-mbfo),0),0),0)))</f>
        <v>0</v>
      </c>
      <c r="AY203" s="292" t="e">
        <f t="shared" si="136"/>
        <v>#DIV/0!</v>
      </c>
      <c r="AZ203" s="235" t="e">
        <f t="shared" si="172"/>
        <v>#DIV/0!</v>
      </c>
      <c r="BA203" s="269" t="e">
        <f t="shared" si="173"/>
        <v>#DIV/0!</v>
      </c>
      <c r="BB203" s="292" t="e">
        <f t="shared" si="174"/>
        <v>#DIV/0!</v>
      </c>
      <c r="BC203" s="238" t="e">
        <f>IF(SUM($BC$13:BC202)&gt;0,0,IF(BB203&gt;0,B203,0))</f>
        <v>#DIV/0!</v>
      </c>
      <c r="BD203" s="292" t="e">
        <f>IF(BB203+SUM($BD$12:BD202)&gt;=0,0,-BB203-SUM($BD$12:BD202))</f>
        <v>#DIV/0!</v>
      </c>
      <c r="BE203" s="235" t="e">
        <f>BB203+SUM($BD$12:BD203)</f>
        <v>#DIV/0!</v>
      </c>
      <c r="BF203" s="292" t="e">
        <f>-MIN(BE203:$BE$501)-SUM(BF$12:$BF202)</f>
        <v>#DIV/0!</v>
      </c>
      <c r="BG203" s="235" t="e">
        <f t="shared" si="139"/>
        <v>#DIV/0!</v>
      </c>
    </row>
    <row r="204" spans="2:59">
      <c r="B204" s="246">
        <v>191</v>
      </c>
      <c r="C204" s="241">
        <f t="shared" si="138"/>
        <v>48492</v>
      </c>
      <c r="D204" s="229">
        <f t="shared" si="140"/>
        <v>10</v>
      </c>
      <c r="E204" s="230" t="str">
        <f t="shared" si="141"/>
        <v>-</v>
      </c>
      <c r="F204" s="231">
        <f t="shared" si="142"/>
        <v>0</v>
      </c>
      <c r="G204" s="231">
        <f t="shared" si="143"/>
        <v>0</v>
      </c>
      <c r="H204" s="231">
        <f t="shared" si="144"/>
        <v>0</v>
      </c>
      <c r="I204" s="268">
        <f t="shared" si="129"/>
        <v>0</v>
      </c>
      <c r="J204" s="269">
        <f t="shared" si="145"/>
        <v>0</v>
      </c>
      <c r="K204" s="269">
        <f t="shared" si="146"/>
        <v>0</v>
      </c>
      <c r="L204" s="269">
        <f t="shared" si="130"/>
        <v>0</v>
      </c>
      <c r="M204" s="269">
        <f t="shared" si="131"/>
        <v>0</v>
      </c>
      <c r="N204" s="233">
        <f>VLOOKUP(B204,Dados!$L$86:$P$90,5)</f>
        <v>0</v>
      </c>
      <c r="O204" s="270">
        <f t="shared" si="147"/>
        <v>0.99999999999999989</v>
      </c>
      <c r="P204" s="269">
        <f t="shared" si="148"/>
        <v>0</v>
      </c>
      <c r="Q204" s="269" t="e">
        <f t="shared" si="149"/>
        <v>#DIV/0!</v>
      </c>
      <c r="R204" s="269">
        <f t="shared" si="150"/>
        <v>0</v>
      </c>
      <c r="S204" s="269" t="e">
        <f t="shared" si="151"/>
        <v>#DIV/0!</v>
      </c>
      <c r="T204" s="269" t="e">
        <f t="shared" si="137"/>
        <v>#DIV/0!</v>
      </c>
      <c r="U204" s="234">
        <f t="shared" si="152"/>
        <v>0</v>
      </c>
      <c r="V204" s="232" t="e">
        <f t="shared" si="153"/>
        <v>#DIV/0!</v>
      </c>
      <c r="W204" s="269" t="e">
        <f t="shared" si="154"/>
        <v>#DIV/0!</v>
      </c>
      <c r="X204" s="235">
        <f t="shared" si="132"/>
        <v>0</v>
      </c>
      <c r="Y204" s="236">
        <f t="shared" si="155"/>
        <v>5</v>
      </c>
      <c r="Z204" s="236" t="e">
        <f t="shared" si="156"/>
        <v>#DIV/0!</v>
      </c>
      <c r="AA204" s="236">
        <f t="shared" si="157"/>
        <v>3</v>
      </c>
      <c r="AB204" s="236" t="e">
        <f t="shared" si="158"/>
        <v>#DIV/0!</v>
      </c>
      <c r="AC204" s="235">
        <f t="shared" si="159"/>
        <v>0</v>
      </c>
      <c r="AD204" s="235">
        <f t="shared" si="160"/>
        <v>0</v>
      </c>
      <c r="AE204" s="279">
        <f t="shared" si="161"/>
        <v>0</v>
      </c>
      <c r="AF204" s="232">
        <f t="shared" si="162"/>
        <v>0</v>
      </c>
      <c r="AG204" s="235">
        <f t="shared" si="163"/>
        <v>0</v>
      </c>
      <c r="AH204" s="269">
        <f t="shared" si="164"/>
        <v>0</v>
      </c>
      <c r="AI204" s="232">
        <f t="shared" si="165"/>
        <v>0</v>
      </c>
      <c r="AJ204" s="235">
        <f t="shared" si="166"/>
        <v>0</v>
      </c>
      <c r="AK204" s="269">
        <f t="shared" si="167"/>
        <v>0</v>
      </c>
      <c r="AL204" s="269">
        <f t="shared" si="133"/>
        <v>0</v>
      </c>
      <c r="AM204" s="281" t="e">
        <f>IF(B204&gt;=mpfo,pos*vvm*Dados!$E$122*(ntudv-SUM(U205:$U$301))-SUM($AM$13:AM203),0)</f>
        <v>#DIV/0!</v>
      </c>
      <c r="AN204" s="269" t="e">
        <f t="shared" si="168"/>
        <v>#DIV/0!</v>
      </c>
      <c r="AO204" s="232" t="e">
        <f t="shared" si="169"/>
        <v>#DIV/0!</v>
      </c>
      <c r="AP204" s="242" t="e">
        <f t="shared" si="170"/>
        <v>#DIV/0!</v>
      </c>
      <c r="AQ204" s="235" t="e">
        <f>IF(AP204+SUM($AQ$12:AQ203)&gt;=0,0,-AP204-SUM($AQ$12:AQ203))</f>
        <v>#DIV/0!</v>
      </c>
      <c r="AR204" s="235">
        <f>IF(SUM($N$13:N203)&gt;=pmo,IF(SUM(N203:$N$501)&gt;(1-pmo),B204,0),0)</f>
        <v>0</v>
      </c>
      <c r="AS204" s="235" t="e">
        <f>IF((SUM($U$13:$U203)/ntudv)&gt;=pmv,IF((SUM($U203:$U$501)/ntudv)&gt;(1-pmv),B204,0),0)</f>
        <v>#DIV/0!</v>
      </c>
      <c r="AT204" s="237" t="e">
        <f>IF(MAX(mmo,mmv)=mmo,IF(B204=AR204,(SUM(N$13:$N203)-pmo)/((1-VLOOKUP(MAX(mmo,mmv)-1,$B$13:$O$501,14))+(VLOOKUP(MAX(mmo,mmv)-1,$B$13:$O$501,14)-pmo)),N203/((1-VLOOKUP(MAX(mmo,mmv)-1,$B$13:$O$501,14)+(VLOOKUP(MAX(mmo,mmv)-1,$B$13:$O$501,14)-pmo)))),N203/(1-VLOOKUP(MAX(mmo,mmv)-2,$B$13:$O$501,14)))</f>
        <v>#DIV/0!</v>
      </c>
      <c r="AU204" s="101" t="e">
        <f t="shared" si="134"/>
        <v>#DIV/0!</v>
      </c>
      <c r="AV204" s="287" t="e">
        <f t="shared" si="135"/>
        <v>#DIV/0!</v>
      </c>
      <c r="AW204" s="235" t="e">
        <f t="shared" si="171"/>
        <v>#DIV/0!</v>
      </c>
      <c r="AX204" s="281">
        <f>IF(B204&gt;mpfo,0,IF(B204=mpfo,(vld-teo*(1+tcfo-incc)^(MAX(mmo,mmv)-mbfo))*-1,IF(SUM($N$13:N203)&gt;=pmo,IF(($V203/ntudv)&gt;=pmv,IF(B204=MAX(mmo,mmv),-teo*(1+tcfo-incc)^(B204-mbfo),0),0),0)))</f>
        <v>0</v>
      </c>
      <c r="AY204" s="292" t="e">
        <f t="shared" si="136"/>
        <v>#DIV/0!</v>
      </c>
      <c r="AZ204" s="235" t="e">
        <f t="shared" si="172"/>
        <v>#DIV/0!</v>
      </c>
      <c r="BA204" s="269" t="e">
        <f t="shared" si="173"/>
        <v>#DIV/0!</v>
      </c>
      <c r="BB204" s="292" t="e">
        <f t="shared" si="174"/>
        <v>#DIV/0!</v>
      </c>
      <c r="BC204" s="238" t="e">
        <f>IF(SUM($BC$13:BC203)&gt;0,0,IF(BB204&gt;0,B204,0))</f>
        <v>#DIV/0!</v>
      </c>
      <c r="BD204" s="292" t="e">
        <f>IF(BB204+SUM($BD$12:BD203)&gt;=0,0,-BB204-SUM($BD$12:BD203))</f>
        <v>#DIV/0!</v>
      </c>
      <c r="BE204" s="235" t="e">
        <f>BB204+SUM($BD$12:BD204)</f>
        <v>#DIV/0!</v>
      </c>
      <c r="BF204" s="292" t="e">
        <f>-MIN(BE204:$BE$501)-SUM(BF$12:$BF203)</f>
        <v>#DIV/0!</v>
      </c>
      <c r="BG204" s="235" t="e">
        <f t="shared" si="139"/>
        <v>#DIV/0!</v>
      </c>
    </row>
    <row r="205" spans="2:59">
      <c r="B205" s="120">
        <v>192</v>
      </c>
      <c r="C205" s="241">
        <f t="shared" si="138"/>
        <v>48523</v>
      </c>
      <c r="D205" s="229">
        <f t="shared" si="140"/>
        <v>11</v>
      </c>
      <c r="E205" s="230" t="str">
        <f t="shared" si="141"/>
        <v>-</v>
      </c>
      <c r="F205" s="231">
        <f t="shared" si="142"/>
        <v>0</v>
      </c>
      <c r="G205" s="231">
        <f t="shared" si="143"/>
        <v>0</v>
      </c>
      <c r="H205" s="231">
        <f t="shared" si="144"/>
        <v>0</v>
      </c>
      <c r="I205" s="268">
        <f t="shared" ref="I205:I268" si="175">IF(cmt="SC",G205,IF(cmt="INCC",H205,IF(B205&gt;(mpt+npt),0,IF(B205&lt;(mpt+npt+1),IF(B205&gt;mpt,(vtd-vst)/npt,IF(B205=mpt,vst,0))))))*-1-F205+J205</f>
        <v>0</v>
      </c>
      <c r="J205" s="269">
        <f t="shared" si="145"/>
        <v>0</v>
      </c>
      <c r="K205" s="269">
        <f t="shared" si="146"/>
        <v>0</v>
      </c>
      <c r="L205" s="269">
        <f t="shared" ref="L205:L268" si="176">IF($B205&gt;mppe+npppe,0,IF($B205&lt;mppe+npppe,IF($B205&gt;=mppe,ppe*vgv/npppe,0),0))*-1</f>
        <v>0</v>
      </c>
      <c r="M205" s="269">
        <f t="shared" ref="M205:M268" si="177">IF($B205&gt;mppm+npppm,0,IF($B205&lt;mppm+npppm,IF($B205&gt;=mppm,ppm*vgv/npppm,0),0))*-1</f>
        <v>0</v>
      </c>
      <c r="N205" s="233">
        <f>VLOOKUP(B205,Dados!$L$86:$P$90,5)</f>
        <v>0</v>
      </c>
      <c r="O205" s="270">
        <f t="shared" si="147"/>
        <v>0.99999999999999989</v>
      </c>
      <c r="P205" s="269">
        <f t="shared" si="148"/>
        <v>0</v>
      </c>
      <c r="Q205" s="269" t="e">
        <f t="shared" si="149"/>
        <v>#DIV/0!</v>
      </c>
      <c r="R205" s="269">
        <f t="shared" si="150"/>
        <v>0</v>
      </c>
      <c r="S205" s="269" t="e">
        <f t="shared" si="151"/>
        <v>#DIV/0!</v>
      </c>
      <c r="T205" s="269" t="e">
        <f t="shared" si="137"/>
        <v>#DIV/0!</v>
      </c>
      <c r="U205" s="234">
        <f t="shared" si="152"/>
        <v>0</v>
      </c>
      <c r="V205" s="232" t="e">
        <f t="shared" si="153"/>
        <v>#DIV/0!</v>
      </c>
      <c r="W205" s="269" t="e">
        <f t="shared" si="154"/>
        <v>#DIV/0!</v>
      </c>
      <c r="X205" s="235">
        <f t="shared" ref="X205:X268" si="178">IF(B205-mlan&lt;0,0,IF(U205=0,0,IF(B205-mlan&gt;npm,vtpm*U205,(B205-mlan)*vvm*mdo/npm*U205)))</f>
        <v>0</v>
      </c>
      <c r="Y205" s="236">
        <f t="shared" si="155"/>
        <v>5</v>
      </c>
      <c r="Z205" s="236" t="e">
        <f t="shared" si="156"/>
        <v>#DIV/0!</v>
      </c>
      <c r="AA205" s="236">
        <f t="shared" si="157"/>
        <v>3</v>
      </c>
      <c r="AB205" s="236" t="e">
        <f t="shared" si="158"/>
        <v>#DIV/0!</v>
      </c>
      <c r="AC205" s="235">
        <f t="shared" si="159"/>
        <v>0</v>
      </c>
      <c r="AD205" s="235">
        <f t="shared" si="160"/>
        <v>0</v>
      </c>
      <c r="AE205" s="279">
        <f t="shared" si="161"/>
        <v>0</v>
      </c>
      <c r="AF205" s="232">
        <f t="shared" si="162"/>
        <v>0</v>
      </c>
      <c r="AG205" s="235">
        <f t="shared" si="163"/>
        <v>0</v>
      </c>
      <c r="AH205" s="269">
        <f t="shared" si="164"/>
        <v>0</v>
      </c>
      <c r="AI205" s="232">
        <f t="shared" si="165"/>
        <v>0</v>
      </c>
      <c r="AJ205" s="235">
        <f t="shared" si="166"/>
        <v>0</v>
      </c>
      <c r="AK205" s="269">
        <f t="shared" si="167"/>
        <v>0</v>
      </c>
      <c r="AL205" s="269">
        <f t="shared" ref="AL205:AL268" si="179">IF(B205=mec,cha*ntudv*vvm,0)</f>
        <v>0</v>
      </c>
      <c r="AM205" s="281" t="e">
        <f>IF(B205&gt;=mpfo,pos*vvm*Dados!$E$122*(ntudv-SUM(U206:$U$301))-SUM($AM$13:AM204),0)</f>
        <v>#DIV/0!</v>
      </c>
      <c r="AN205" s="269" t="e">
        <f t="shared" si="168"/>
        <v>#DIV/0!</v>
      </c>
      <c r="AO205" s="232" t="e">
        <f t="shared" si="169"/>
        <v>#DIV/0!</v>
      </c>
      <c r="AP205" s="242" t="e">
        <f t="shared" si="170"/>
        <v>#DIV/0!</v>
      </c>
      <c r="AQ205" s="235" t="e">
        <f>IF(AP205+SUM($AQ$12:AQ204)&gt;=0,0,-AP205-SUM($AQ$12:AQ204))</f>
        <v>#DIV/0!</v>
      </c>
      <c r="AR205" s="235">
        <f>IF(SUM($N$13:N204)&gt;=pmo,IF(SUM(N204:$N$501)&gt;(1-pmo),B205,0),0)</f>
        <v>0</v>
      </c>
      <c r="AS205" s="235" t="e">
        <f>IF((SUM($U$13:$U204)/ntudv)&gt;=pmv,IF((SUM($U204:$U$501)/ntudv)&gt;(1-pmv),B205,0),0)</f>
        <v>#DIV/0!</v>
      </c>
      <c r="AT205" s="237" t="e">
        <f>IF(MAX(mmo,mmv)=mmo,IF(B205=AR205,(SUM(N$13:$N204)-pmo)/((1-VLOOKUP(MAX(mmo,mmv)-1,$B$13:$O$501,14))+(VLOOKUP(MAX(mmo,mmv)-1,$B$13:$O$501,14)-pmo)),N204/((1-VLOOKUP(MAX(mmo,mmv)-1,$B$13:$O$501,14)+(VLOOKUP(MAX(mmo,mmv)-1,$B$13:$O$501,14)-pmo)))),N204/(1-VLOOKUP(MAX(mmo,mmv)-2,$B$13:$O$501,14)))</f>
        <v>#DIV/0!</v>
      </c>
      <c r="AU205" s="101" t="e">
        <f t="shared" ref="AU205:AU268" si="180">IF(B205=MAX(mmo,mmv),teo,0)*(1+tcfo-incc)^(B205-mbfo)</f>
        <v>#DIV/0!</v>
      </c>
      <c r="AV205" s="287" t="e">
        <f t="shared" ref="AV205:AV268" si="181">IF(B205&gt;=MAX(mmo,mmv),IF(B205&lt;(mco+2),(vfo-teo)*AT205,0),0)*(1+tcfo-incc)^(B205-mbfo)+AU205</f>
        <v>#DIV/0!</v>
      </c>
      <c r="AW205" s="235" t="e">
        <f t="shared" si="171"/>
        <v>#DIV/0!</v>
      </c>
      <c r="AX205" s="281">
        <f>IF(B205&gt;mpfo,0,IF(B205=mpfo,(vld-teo*(1+tcfo-incc)^(MAX(mmo,mmv)-mbfo))*-1,IF(SUM($N$13:N204)&gt;=pmo,IF(($V204/ntudv)&gt;=pmv,IF(B205=MAX(mmo,mmv),-teo*(1+tcfo-incc)^(B205-mbfo),0),0),0)))</f>
        <v>0</v>
      </c>
      <c r="AY205" s="292" t="e">
        <f t="shared" ref="AY205:AY268" si="182">IF(IF(cjfo="M",(AZ204)*jfo,IF(B205=mpfo,AW205+AX205,0))*-1&gt;0,0,IF(cjfo="M",(AZ204)*jfo,IF(B205=mpfo,AW205+AX205,0))*-1)</f>
        <v>#DIV/0!</v>
      </c>
      <c r="AZ205" s="235" t="e">
        <f t="shared" si="172"/>
        <v>#DIV/0!</v>
      </c>
      <c r="BA205" s="269" t="e">
        <f t="shared" si="173"/>
        <v>#DIV/0!</v>
      </c>
      <c r="BB205" s="292" t="e">
        <f t="shared" si="174"/>
        <v>#DIV/0!</v>
      </c>
      <c r="BC205" s="238" t="e">
        <f>IF(SUM($BC$13:BC204)&gt;0,0,IF(BB205&gt;0,B205,0))</f>
        <v>#DIV/0!</v>
      </c>
      <c r="BD205" s="292" t="e">
        <f>IF(BB205+SUM($BD$12:BD204)&gt;=0,0,-BB205-SUM($BD$12:BD204))</f>
        <v>#DIV/0!</v>
      </c>
      <c r="BE205" s="235" t="e">
        <f>BB205+SUM($BD$12:BD205)</f>
        <v>#DIV/0!</v>
      </c>
      <c r="BF205" s="292" t="e">
        <f>-MIN(BE205:$BE$501)-SUM(BF$12:$BF204)</f>
        <v>#DIV/0!</v>
      </c>
      <c r="BG205" s="235" t="e">
        <f t="shared" si="139"/>
        <v>#DIV/0!</v>
      </c>
    </row>
    <row r="206" spans="2:59">
      <c r="B206" s="246">
        <v>193</v>
      </c>
      <c r="C206" s="241">
        <f t="shared" si="138"/>
        <v>48553</v>
      </c>
      <c r="D206" s="229">
        <f t="shared" si="140"/>
        <v>12</v>
      </c>
      <c r="E206" s="230" t="str">
        <f t="shared" si="141"/>
        <v>-</v>
      </c>
      <c r="F206" s="231">
        <f t="shared" si="142"/>
        <v>0</v>
      </c>
      <c r="G206" s="231">
        <f t="shared" si="143"/>
        <v>0</v>
      </c>
      <c r="H206" s="231">
        <f t="shared" si="144"/>
        <v>0</v>
      </c>
      <c r="I206" s="268">
        <f t="shared" si="175"/>
        <v>0</v>
      </c>
      <c r="J206" s="269">
        <f t="shared" si="145"/>
        <v>0</v>
      </c>
      <c r="K206" s="269">
        <f t="shared" si="146"/>
        <v>0</v>
      </c>
      <c r="L206" s="269">
        <f t="shared" si="176"/>
        <v>0</v>
      </c>
      <c r="M206" s="269">
        <f t="shared" si="177"/>
        <v>0</v>
      </c>
      <c r="N206" s="233">
        <f>VLOOKUP(B206,Dados!$L$86:$P$90,5)</f>
        <v>0</v>
      </c>
      <c r="O206" s="270">
        <f t="shared" si="147"/>
        <v>0.99999999999999989</v>
      </c>
      <c r="P206" s="269">
        <f t="shared" si="148"/>
        <v>0</v>
      </c>
      <c r="Q206" s="269" t="e">
        <f t="shared" si="149"/>
        <v>#DIV/0!</v>
      </c>
      <c r="R206" s="269">
        <f t="shared" si="150"/>
        <v>0</v>
      </c>
      <c r="S206" s="269" t="e">
        <f t="shared" si="151"/>
        <v>#DIV/0!</v>
      </c>
      <c r="T206" s="269" t="e">
        <f t="shared" ref="T206:T269" si="183">S206+P206+M206+L206+K206+I206+R206+Q206</f>
        <v>#DIV/0!</v>
      </c>
      <c r="U206" s="234">
        <f t="shared" si="152"/>
        <v>0</v>
      </c>
      <c r="V206" s="232" t="e">
        <f t="shared" si="153"/>
        <v>#DIV/0!</v>
      </c>
      <c r="W206" s="269" t="e">
        <f t="shared" si="154"/>
        <v>#DIV/0!</v>
      </c>
      <c r="X206" s="235">
        <f t="shared" si="178"/>
        <v>0</v>
      </c>
      <c r="Y206" s="236">
        <f t="shared" si="155"/>
        <v>5</v>
      </c>
      <c r="Z206" s="236" t="e">
        <f t="shared" si="156"/>
        <v>#DIV/0!</v>
      </c>
      <c r="AA206" s="236">
        <f t="shared" si="157"/>
        <v>3</v>
      </c>
      <c r="AB206" s="236" t="e">
        <f t="shared" si="158"/>
        <v>#DIV/0!</v>
      </c>
      <c r="AC206" s="235">
        <f t="shared" si="159"/>
        <v>0</v>
      </c>
      <c r="AD206" s="235">
        <f t="shared" si="160"/>
        <v>0</v>
      </c>
      <c r="AE206" s="279">
        <f t="shared" si="161"/>
        <v>0</v>
      </c>
      <c r="AF206" s="232">
        <f t="shared" si="162"/>
        <v>1</v>
      </c>
      <c r="AG206" s="235">
        <f t="shared" si="163"/>
        <v>0</v>
      </c>
      <c r="AH206" s="269">
        <f t="shared" si="164"/>
        <v>0</v>
      </c>
      <c r="AI206" s="232">
        <f t="shared" si="165"/>
        <v>1</v>
      </c>
      <c r="AJ206" s="235">
        <f t="shared" si="166"/>
        <v>0</v>
      </c>
      <c r="AK206" s="269">
        <f t="shared" si="167"/>
        <v>0</v>
      </c>
      <c r="AL206" s="269">
        <f t="shared" si="179"/>
        <v>0</v>
      </c>
      <c r="AM206" s="281" t="e">
        <f>IF(B206&gt;=mpfo,pos*vvm*Dados!$E$122*(ntudv-SUM(U207:$U$301))-SUM($AM$13:AM205),0)</f>
        <v>#DIV/0!</v>
      </c>
      <c r="AN206" s="269" t="e">
        <f t="shared" si="168"/>
        <v>#DIV/0!</v>
      </c>
      <c r="AO206" s="232" t="e">
        <f t="shared" si="169"/>
        <v>#DIV/0!</v>
      </c>
      <c r="AP206" s="242" t="e">
        <f t="shared" si="170"/>
        <v>#DIV/0!</v>
      </c>
      <c r="AQ206" s="235" t="e">
        <f>IF(AP206+SUM($AQ$12:AQ205)&gt;=0,0,-AP206-SUM($AQ$12:AQ205))</f>
        <v>#DIV/0!</v>
      </c>
      <c r="AR206" s="235">
        <f>IF(SUM($N$13:N205)&gt;=pmo,IF(SUM(N205:$N$501)&gt;(1-pmo),B206,0),0)</f>
        <v>0</v>
      </c>
      <c r="AS206" s="235" t="e">
        <f>IF((SUM($U$13:$U205)/ntudv)&gt;=pmv,IF((SUM($U205:$U$501)/ntudv)&gt;(1-pmv),B206,0),0)</f>
        <v>#DIV/0!</v>
      </c>
      <c r="AT206" s="237" t="e">
        <f>IF(MAX(mmo,mmv)=mmo,IF(B206=AR206,(SUM(N$13:$N205)-pmo)/((1-VLOOKUP(MAX(mmo,mmv)-1,$B$13:$O$501,14))+(VLOOKUP(MAX(mmo,mmv)-1,$B$13:$O$501,14)-pmo)),N205/((1-VLOOKUP(MAX(mmo,mmv)-1,$B$13:$O$501,14)+(VLOOKUP(MAX(mmo,mmv)-1,$B$13:$O$501,14)-pmo)))),N205/(1-VLOOKUP(MAX(mmo,mmv)-2,$B$13:$O$501,14)))</f>
        <v>#DIV/0!</v>
      </c>
      <c r="AU206" s="101" t="e">
        <f t="shared" si="180"/>
        <v>#DIV/0!</v>
      </c>
      <c r="AV206" s="287" t="e">
        <f t="shared" si="181"/>
        <v>#DIV/0!</v>
      </c>
      <c r="AW206" s="235" t="e">
        <f t="shared" si="171"/>
        <v>#DIV/0!</v>
      </c>
      <c r="AX206" s="281">
        <f>IF(B206&gt;mpfo,0,IF(B206=mpfo,(vld-teo*(1+tcfo-incc)^(MAX(mmo,mmv)-mbfo))*-1,IF(SUM($N$13:N205)&gt;=pmo,IF(($V205/ntudv)&gt;=pmv,IF(B206=MAX(mmo,mmv),-teo*(1+tcfo-incc)^(B206-mbfo),0),0),0)))</f>
        <v>0</v>
      </c>
      <c r="AY206" s="292" t="e">
        <f t="shared" si="182"/>
        <v>#DIV/0!</v>
      </c>
      <c r="AZ206" s="235" t="e">
        <f t="shared" si="172"/>
        <v>#DIV/0!</v>
      </c>
      <c r="BA206" s="269" t="e">
        <f t="shared" si="173"/>
        <v>#DIV/0!</v>
      </c>
      <c r="BB206" s="292" t="e">
        <f t="shared" si="174"/>
        <v>#DIV/0!</v>
      </c>
      <c r="BC206" s="238" t="e">
        <f>IF(SUM($BC$13:BC205)&gt;0,0,IF(BB206&gt;0,B206,0))</f>
        <v>#DIV/0!</v>
      </c>
      <c r="BD206" s="292" t="e">
        <f>IF(BB206+SUM($BD$12:BD205)&gt;=0,0,-BB206-SUM($BD$12:BD205))</f>
        <v>#DIV/0!</v>
      </c>
      <c r="BE206" s="235" t="e">
        <f>BB206+SUM($BD$12:BD206)</f>
        <v>#DIV/0!</v>
      </c>
      <c r="BF206" s="292" t="e">
        <f>-MIN(BE206:$BE$501)-SUM(BF$12:$BF205)</f>
        <v>#DIV/0!</v>
      </c>
      <c r="BG206" s="235" t="e">
        <f t="shared" si="139"/>
        <v>#DIV/0!</v>
      </c>
    </row>
    <row r="207" spans="2:59">
      <c r="B207" s="120">
        <v>194</v>
      </c>
      <c r="C207" s="241">
        <f t="shared" ref="C207:C270" si="184">DATE(YEAR(C206),MONTH(C206)+1,DAY(C206))</f>
        <v>48584</v>
      </c>
      <c r="D207" s="229">
        <f t="shared" si="140"/>
        <v>1</v>
      </c>
      <c r="E207" s="230" t="str">
        <f t="shared" si="141"/>
        <v>-</v>
      </c>
      <c r="F207" s="231">
        <f t="shared" si="142"/>
        <v>0</v>
      </c>
      <c r="G207" s="231">
        <f t="shared" si="143"/>
        <v>0</v>
      </c>
      <c r="H207" s="231">
        <f t="shared" si="144"/>
        <v>0</v>
      </c>
      <c r="I207" s="268">
        <f t="shared" si="175"/>
        <v>0</v>
      </c>
      <c r="J207" s="269">
        <f t="shared" si="145"/>
        <v>0</v>
      </c>
      <c r="K207" s="269">
        <f t="shared" si="146"/>
        <v>0</v>
      </c>
      <c r="L207" s="269">
        <f t="shared" si="176"/>
        <v>0</v>
      </c>
      <c r="M207" s="269">
        <f t="shared" si="177"/>
        <v>0</v>
      </c>
      <c r="N207" s="233">
        <f>VLOOKUP(B207,Dados!$L$86:$P$90,5)</f>
        <v>0</v>
      </c>
      <c r="O207" s="270">
        <f t="shared" si="147"/>
        <v>0.99999999999999989</v>
      </c>
      <c r="P207" s="269">
        <f t="shared" si="148"/>
        <v>0</v>
      </c>
      <c r="Q207" s="269" t="e">
        <f t="shared" si="149"/>
        <v>#DIV/0!</v>
      </c>
      <c r="R207" s="269">
        <f t="shared" si="150"/>
        <v>0</v>
      </c>
      <c r="S207" s="269" t="e">
        <f t="shared" si="151"/>
        <v>#DIV/0!</v>
      </c>
      <c r="T207" s="269" t="e">
        <f t="shared" si="183"/>
        <v>#DIV/0!</v>
      </c>
      <c r="U207" s="234">
        <f t="shared" si="152"/>
        <v>0</v>
      </c>
      <c r="V207" s="232" t="e">
        <f t="shared" si="153"/>
        <v>#DIV/0!</v>
      </c>
      <c r="W207" s="269" t="e">
        <f t="shared" si="154"/>
        <v>#DIV/0!</v>
      </c>
      <c r="X207" s="235">
        <f t="shared" si="178"/>
        <v>0</v>
      </c>
      <c r="Y207" s="236">
        <f t="shared" si="155"/>
        <v>5</v>
      </c>
      <c r="Z207" s="236" t="e">
        <f t="shared" si="156"/>
        <v>#DIV/0!</v>
      </c>
      <c r="AA207" s="236">
        <f t="shared" si="157"/>
        <v>3</v>
      </c>
      <c r="AB207" s="236" t="e">
        <f t="shared" si="158"/>
        <v>#DIV/0!</v>
      </c>
      <c r="AC207" s="235">
        <f t="shared" si="159"/>
        <v>0</v>
      </c>
      <c r="AD207" s="235">
        <f t="shared" si="160"/>
        <v>0</v>
      </c>
      <c r="AE207" s="279">
        <f t="shared" si="161"/>
        <v>0</v>
      </c>
      <c r="AF207" s="232">
        <f t="shared" si="162"/>
        <v>0</v>
      </c>
      <c r="AG207" s="235">
        <f t="shared" si="163"/>
        <v>0</v>
      </c>
      <c r="AH207" s="269">
        <f t="shared" si="164"/>
        <v>0</v>
      </c>
      <c r="AI207" s="232">
        <f t="shared" si="165"/>
        <v>0</v>
      </c>
      <c r="AJ207" s="235">
        <f t="shared" si="166"/>
        <v>0</v>
      </c>
      <c r="AK207" s="269">
        <f t="shared" si="167"/>
        <v>0</v>
      </c>
      <c r="AL207" s="269">
        <f t="shared" si="179"/>
        <v>0</v>
      </c>
      <c r="AM207" s="281" t="e">
        <f>IF(B207&gt;=mpfo,pos*vvm*Dados!$E$122*(ntudv-SUM(U208:$U$301))-SUM($AM$13:AM206),0)</f>
        <v>#DIV/0!</v>
      </c>
      <c r="AN207" s="269" t="e">
        <f t="shared" si="168"/>
        <v>#DIV/0!</v>
      </c>
      <c r="AO207" s="232" t="e">
        <f t="shared" si="169"/>
        <v>#DIV/0!</v>
      </c>
      <c r="AP207" s="242" t="e">
        <f t="shared" si="170"/>
        <v>#DIV/0!</v>
      </c>
      <c r="AQ207" s="235" t="e">
        <f>IF(AP207+SUM($AQ$12:AQ206)&gt;=0,0,-AP207-SUM($AQ$12:AQ206))</f>
        <v>#DIV/0!</v>
      </c>
      <c r="AR207" s="235">
        <f>IF(SUM($N$13:N206)&gt;=pmo,IF(SUM(N206:$N$501)&gt;(1-pmo),B207,0),0)</f>
        <v>0</v>
      </c>
      <c r="AS207" s="235" t="e">
        <f>IF((SUM($U$13:$U206)/ntudv)&gt;=pmv,IF((SUM($U206:$U$501)/ntudv)&gt;(1-pmv),B207,0),0)</f>
        <v>#DIV/0!</v>
      </c>
      <c r="AT207" s="237" t="e">
        <f>IF(MAX(mmo,mmv)=mmo,IF(B207=AR207,(SUM(N$13:$N206)-pmo)/((1-VLOOKUP(MAX(mmo,mmv)-1,$B$13:$O$501,14))+(VLOOKUP(MAX(mmo,mmv)-1,$B$13:$O$501,14)-pmo)),N206/((1-VLOOKUP(MAX(mmo,mmv)-1,$B$13:$O$501,14)+(VLOOKUP(MAX(mmo,mmv)-1,$B$13:$O$501,14)-pmo)))),N206/(1-VLOOKUP(MAX(mmo,mmv)-2,$B$13:$O$501,14)))</f>
        <v>#DIV/0!</v>
      </c>
      <c r="AU207" s="101" t="e">
        <f t="shared" si="180"/>
        <v>#DIV/0!</v>
      </c>
      <c r="AV207" s="287" t="e">
        <f t="shared" si="181"/>
        <v>#DIV/0!</v>
      </c>
      <c r="AW207" s="235" t="e">
        <f t="shared" si="171"/>
        <v>#DIV/0!</v>
      </c>
      <c r="AX207" s="281">
        <f>IF(B207&gt;mpfo,0,IF(B207=mpfo,(vld-teo*(1+tcfo-incc)^(MAX(mmo,mmv)-mbfo))*-1,IF(SUM($N$13:N206)&gt;=pmo,IF(($V206/ntudv)&gt;=pmv,IF(B207=MAX(mmo,mmv),-teo*(1+tcfo-incc)^(B207-mbfo),0),0),0)))</f>
        <v>0</v>
      </c>
      <c r="AY207" s="292" t="e">
        <f t="shared" si="182"/>
        <v>#DIV/0!</v>
      </c>
      <c r="AZ207" s="235" t="e">
        <f t="shared" si="172"/>
        <v>#DIV/0!</v>
      </c>
      <c r="BA207" s="269" t="e">
        <f t="shared" si="173"/>
        <v>#DIV/0!</v>
      </c>
      <c r="BB207" s="292" t="e">
        <f t="shared" si="174"/>
        <v>#DIV/0!</v>
      </c>
      <c r="BC207" s="238" t="e">
        <f>IF(SUM($BC$13:BC206)&gt;0,0,IF(BB207&gt;0,B207,0))</f>
        <v>#DIV/0!</v>
      </c>
      <c r="BD207" s="292" t="e">
        <f>IF(BB207+SUM($BD$12:BD206)&gt;=0,0,-BB207-SUM($BD$12:BD206))</f>
        <v>#DIV/0!</v>
      </c>
      <c r="BE207" s="235" t="e">
        <f>BB207+SUM($BD$12:BD207)</f>
        <v>#DIV/0!</v>
      </c>
      <c r="BF207" s="292" t="e">
        <f>-MIN(BE207:$BE$501)-SUM(BF$12:$BF206)</f>
        <v>#DIV/0!</v>
      </c>
      <c r="BG207" s="235" t="e">
        <f t="shared" ref="BG207:BG270" si="185">BF207</f>
        <v>#DIV/0!</v>
      </c>
    </row>
    <row r="208" spans="2:59">
      <c r="B208" s="246">
        <v>195</v>
      </c>
      <c r="C208" s="241">
        <f t="shared" si="184"/>
        <v>48615</v>
      </c>
      <c r="D208" s="229">
        <f t="shared" si="140"/>
        <v>2</v>
      </c>
      <c r="E208" s="230" t="str">
        <f t="shared" si="141"/>
        <v>-</v>
      </c>
      <c r="F208" s="231">
        <f t="shared" si="142"/>
        <v>0</v>
      </c>
      <c r="G208" s="231">
        <f t="shared" si="143"/>
        <v>0</v>
      </c>
      <c r="H208" s="231">
        <f t="shared" si="144"/>
        <v>0</v>
      </c>
      <c r="I208" s="268">
        <f t="shared" si="175"/>
        <v>0</v>
      </c>
      <c r="J208" s="269">
        <f t="shared" si="145"/>
        <v>0</v>
      </c>
      <c r="K208" s="269">
        <f t="shared" si="146"/>
        <v>0</v>
      </c>
      <c r="L208" s="269">
        <f t="shared" si="176"/>
        <v>0</v>
      </c>
      <c r="M208" s="269">
        <f t="shared" si="177"/>
        <v>0</v>
      </c>
      <c r="N208" s="233">
        <f>VLOOKUP(B208,Dados!$L$86:$P$90,5)</f>
        <v>0</v>
      </c>
      <c r="O208" s="270">
        <f t="shared" si="147"/>
        <v>0.99999999999999989</v>
      </c>
      <c r="P208" s="269">
        <f t="shared" si="148"/>
        <v>0</v>
      </c>
      <c r="Q208" s="269" t="e">
        <f t="shared" si="149"/>
        <v>#DIV/0!</v>
      </c>
      <c r="R208" s="269">
        <f t="shared" si="150"/>
        <v>0</v>
      </c>
      <c r="S208" s="269" t="e">
        <f t="shared" si="151"/>
        <v>#DIV/0!</v>
      </c>
      <c r="T208" s="269" t="e">
        <f t="shared" si="183"/>
        <v>#DIV/0!</v>
      </c>
      <c r="U208" s="234">
        <f t="shared" si="152"/>
        <v>0</v>
      </c>
      <c r="V208" s="232" t="e">
        <f t="shared" si="153"/>
        <v>#DIV/0!</v>
      </c>
      <c r="W208" s="269" t="e">
        <f t="shared" si="154"/>
        <v>#DIV/0!</v>
      </c>
      <c r="X208" s="235">
        <f t="shared" si="178"/>
        <v>0</v>
      </c>
      <c r="Y208" s="236">
        <f t="shared" si="155"/>
        <v>5</v>
      </c>
      <c r="Z208" s="236" t="e">
        <f t="shared" si="156"/>
        <v>#DIV/0!</v>
      </c>
      <c r="AA208" s="236">
        <f t="shared" si="157"/>
        <v>3</v>
      </c>
      <c r="AB208" s="236" t="e">
        <f t="shared" si="158"/>
        <v>#DIV/0!</v>
      </c>
      <c r="AC208" s="235">
        <f t="shared" si="159"/>
        <v>0</v>
      </c>
      <c r="AD208" s="235">
        <f t="shared" si="160"/>
        <v>0</v>
      </c>
      <c r="AE208" s="279">
        <f t="shared" si="161"/>
        <v>0</v>
      </c>
      <c r="AF208" s="232">
        <f t="shared" si="162"/>
        <v>0</v>
      </c>
      <c r="AG208" s="235">
        <f t="shared" si="163"/>
        <v>0</v>
      </c>
      <c r="AH208" s="269">
        <f t="shared" si="164"/>
        <v>0</v>
      </c>
      <c r="AI208" s="232">
        <f t="shared" si="165"/>
        <v>0</v>
      </c>
      <c r="AJ208" s="235">
        <f t="shared" si="166"/>
        <v>0</v>
      </c>
      <c r="AK208" s="269">
        <f t="shared" si="167"/>
        <v>0</v>
      </c>
      <c r="AL208" s="269">
        <f t="shared" si="179"/>
        <v>0</v>
      </c>
      <c r="AM208" s="281" t="e">
        <f>IF(B208&gt;=mpfo,pos*vvm*Dados!$E$122*(ntudv-SUM(U209:$U$301))-SUM($AM$13:AM207),0)</f>
        <v>#DIV/0!</v>
      </c>
      <c r="AN208" s="269" t="e">
        <f t="shared" si="168"/>
        <v>#DIV/0!</v>
      </c>
      <c r="AO208" s="232" t="e">
        <f t="shared" si="169"/>
        <v>#DIV/0!</v>
      </c>
      <c r="AP208" s="242" t="e">
        <f t="shared" si="170"/>
        <v>#DIV/0!</v>
      </c>
      <c r="AQ208" s="235" t="e">
        <f>IF(AP208+SUM($AQ$12:AQ207)&gt;=0,0,-AP208-SUM($AQ$12:AQ207))</f>
        <v>#DIV/0!</v>
      </c>
      <c r="AR208" s="235">
        <f>IF(SUM($N$13:N207)&gt;=pmo,IF(SUM(N207:$N$501)&gt;(1-pmo),B208,0),0)</f>
        <v>0</v>
      </c>
      <c r="AS208" s="235" t="e">
        <f>IF((SUM($U$13:$U207)/ntudv)&gt;=pmv,IF((SUM($U207:$U$501)/ntudv)&gt;(1-pmv),B208,0),0)</f>
        <v>#DIV/0!</v>
      </c>
      <c r="AT208" s="237" t="e">
        <f>IF(MAX(mmo,mmv)=mmo,IF(B208=AR208,(SUM(N$13:$N207)-pmo)/((1-VLOOKUP(MAX(mmo,mmv)-1,$B$13:$O$501,14))+(VLOOKUP(MAX(mmo,mmv)-1,$B$13:$O$501,14)-pmo)),N207/((1-VLOOKUP(MAX(mmo,mmv)-1,$B$13:$O$501,14)+(VLOOKUP(MAX(mmo,mmv)-1,$B$13:$O$501,14)-pmo)))),N207/(1-VLOOKUP(MAX(mmo,mmv)-2,$B$13:$O$501,14)))</f>
        <v>#DIV/0!</v>
      </c>
      <c r="AU208" s="101" t="e">
        <f t="shared" si="180"/>
        <v>#DIV/0!</v>
      </c>
      <c r="AV208" s="287" t="e">
        <f t="shared" si="181"/>
        <v>#DIV/0!</v>
      </c>
      <c r="AW208" s="235" t="e">
        <f t="shared" si="171"/>
        <v>#DIV/0!</v>
      </c>
      <c r="AX208" s="281">
        <f>IF(B208&gt;mpfo,0,IF(B208=mpfo,(vld-teo*(1+tcfo-incc)^(MAX(mmo,mmv)-mbfo))*-1,IF(SUM($N$13:N207)&gt;=pmo,IF(($V207/ntudv)&gt;=pmv,IF(B208=MAX(mmo,mmv),-teo*(1+tcfo-incc)^(B208-mbfo),0),0),0)))</f>
        <v>0</v>
      </c>
      <c r="AY208" s="292" t="e">
        <f t="shared" si="182"/>
        <v>#DIV/0!</v>
      </c>
      <c r="AZ208" s="235" t="e">
        <f t="shared" si="172"/>
        <v>#DIV/0!</v>
      </c>
      <c r="BA208" s="269" t="e">
        <f t="shared" si="173"/>
        <v>#DIV/0!</v>
      </c>
      <c r="BB208" s="292" t="e">
        <f t="shared" si="174"/>
        <v>#DIV/0!</v>
      </c>
      <c r="BC208" s="238" t="e">
        <f>IF(SUM($BC$13:BC207)&gt;0,0,IF(BB208&gt;0,B208,0))</f>
        <v>#DIV/0!</v>
      </c>
      <c r="BD208" s="292" t="e">
        <f>IF(BB208+SUM($BD$12:BD207)&gt;=0,0,-BB208-SUM($BD$12:BD207))</f>
        <v>#DIV/0!</v>
      </c>
      <c r="BE208" s="235" t="e">
        <f>BB208+SUM($BD$12:BD208)</f>
        <v>#DIV/0!</v>
      </c>
      <c r="BF208" s="292" t="e">
        <f>-MIN(BE208:$BE$501)-SUM(BF$12:$BF207)</f>
        <v>#DIV/0!</v>
      </c>
      <c r="BG208" s="235" t="e">
        <f t="shared" si="185"/>
        <v>#DIV/0!</v>
      </c>
    </row>
    <row r="209" spans="2:59">
      <c r="B209" s="120">
        <v>196</v>
      </c>
      <c r="C209" s="241">
        <f t="shared" si="184"/>
        <v>48643</v>
      </c>
      <c r="D209" s="229">
        <f t="shared" si="140"/>
        <v>3</v>
      </c>
      <c r="E209" s="230" t="str">
        <f t="shared" si="141"/>
        <v>-</v>
      </c>
      <c r="F209" s="231">
        <f t="shared" si="142"/>
        <v>0</v>
      </c>
      <c r="G209" s="231">
        <f t="shared" si="143"/>
        <v>0</v>
      </c>
      <c r="H209" s="231">
        <f t="shared" si="144"/>
        <v>0</v>
      </c>
      <c r="I209" s="268">
        <f t="shared" si="175"/>
        <v>0</v>
      </c>
      <c r="J209" s="269">
        <f t="shared" si="145"/>
        <v>0</v>
      </c>
      <c r="K209" s="269">
        <f t="shared" si="146"/>
        <v>0</v>
      </c>
      <c r="L209" s="269">
        <f t="shared" si="176"/>
        <v>0</v>
      </c>
      <c r="M209" s="269">
        <f t="shared" si="177"/>
        <v>0</v>
      </c>
      <c r="N209" s="233">
        <f>VLOOKUP(B209,Dados!$L$86:$P$90,5)</f>
        <v>0</v>
      </c>
      <c r="O209" s="270">
        <f t="shared" si="147"/>
        <v>0.99999999999999989</v>
      </c>
      <c r="P209" s="269">
        <f t="shared" si="148"/>
        <v>0</v>
      </c>
      <c r="Q209" s="269" t="e">
        <f t="shared" si="149"/>
        <v>#DIV/0!</v>
      </c>
      <c r="R209" s="269">
        <f t="shared" si="150"/>
        <v>0</v>
      </c>
      <c r="S209" s="269" t="e">
        <f t="shared" si="151"/>
        <v>#DIV/0!</v>
      </c>
      <c r="T209" s="269" t="e">
        <f t="shared" si="183"/>
        <v>#DIV/0!</v>
      </c>
      <c r="U209" s="234">
        <f t="shared" si="152"/>
        <v>0</v>
      </c>
      <c r="V209" s="232" t="e">
        <f t="shared" si="153"/>
        <v>#DIV/0!</v>
      </c>
      <c r="W209" s="269" t="e">
        <f t="shared" si="154"/>
        <v>#DIV/0!</v>
      </c>
      <c r="X209" s="235">
        <f t="shared" si="178"/>
        <v>0</v>
      </c>
      <c r="Y209" s="236">
        <f t="shared" si="155"/>
        <v>5</v>
      </c>
      <c r="Z209" s="236" t="e">
        <f t="shared" si="156"/>
        <v>#DIV/0!</v>
      </c>
      <c r="AA209" s="236">
        <f t="shared" si="157"/>
        <v>3</v>
      </c>
      <c r="AB209" s="236" t="e">
        <f t="shared" si="158"/>
        <v>#DIV/0!</v>
      </c>
      <c r="AC209" s="235">
        <f t="shared" si="159"/>
        <v>0</v>
      </c>
      <c r="AD209" s="235">
        <f t="shared" si="160"/>
        <v>0</v>
      </c>
      <c r="AE209" s="279">
        <f t="shared" si="161"/>
        <v>0</v>
      </c>
      <c r="AF209" s="232">
        <f t="shared" si="162"/>
        <v>0</v>
      </c>
      <c r="AG209" s="235">
        <f t="shared" si="163"/>
        <v>0</v>
      </c>
      <c r="AH209" s="269">
        <f t="shared" si="164"/>
        <v>0</v>
      </c>
      <c r="AI209" s="232">
        <f t="shared" si="165"/>
        <v>0</v>
      </c>
      <c r="AJ209" s="235">
        <f t="shared" si="166"/>
        <v>0</v>
      </c>
      <c r="AK209" s="269">
        <f t="shared" si="167"/>
        <v>0</v>
      </c>
      <c r="AL209" s="269">
        <f t="shared" si="179"/>
        <v>0</v>
      </c>
      <c r="AM209" s="281" t="e">
        <f>IF(B209&gt;=mpfo,pos*vvm*Dados!$E$122*(ntudv-SUM(U210:$U$301))-SUM($AM$13:AM208),0)</f>
        <v>#DIV/0!</v>
      </c>
      <c r="AN209" s="269" t="e">
        <f t="shared" si="168"/>
        <v>#DIV/0!</v>
      </c>
      <c r="AO209" s="232" t="e">
        <f t="shared" si="169"/>
        <v>#DIV/0!</v>
      </c>
      <c r="AP209" s="242" t="e">
        <f t="shared" si="170"/>
        <v>#DIV/0!</v>
      </c>
      <c r="AQ209" s="235" t="e">
        <f>IF(AP209+SUM($AQ$12:AQ208)&gt;=0,0,-AP209-SUM($AQ$12:AQ208))</f>
        <v>#DIV/0!</v>
      </c>
      <c r="AR209" s="235">
        <f>IF(SUM($N$13:N208)&gt;=pmo,IF(SUM(N208:$N$501)&gt;(1-pmo),B209,0),0)</f>
        <v>0</v>
      </c>
      <c r="AS209" s="235" t="e">
        <f>IF((SUM($U$13:$U208)/ntudv)&gt;=pmv,IF((SUM($U208:$U$501)/ntudv)&gt;(1-pmv),B209,0),0)</f>
        <v>#DIV/0!</v>
      </c>
      <c r="AT209" s="237" t="e">
        <f>IF(MAX(mmo,mmv)=mmo,IF(B209=AR209,(SUM(N$13:$N208)-pmo)/((1-VLOOKUP(MAX(mmo,mmv)-1,$B$13:$O$501,14))+(VLOOKUP(MAX(mmo,mmv)-1,$B$13:$O$501,14)-pmo)),N208/((1-VLOOKUP(MAX(mmo,mmv)-1,$B$13:$O$501,14)+(VLOOKUP(MAX(mmo,mmv)-1,$B$13:$O$501,14)-pmo)))),N208/(1-VLOOKUP(MAX(mmo,mmv)-2,$B$13:$O$501,14)))</f>
        <v>#DIV/0!</v>
      </c>
      <c r="AU209" s="101" t="e">
        <f t="shared" si="180"/>
        <v>#DIV/0!</v>
      </c>
      <c r="AV209" s="287" t="e">
        <f t="shared" si="181"/>
        <v>#DIV/0!</v>
      </c>
      <c r="AW209" s="235" t="e">
        <f t="shared" si="171"/>
        <v>#DIV/0!</v>
      </c>
      <c r="AX209" s="281">
        <f>IF(B209&gt;mpfo,0,IF(B209=mpfo,(vld-teo*(1+tcfo-incc)^(MAX(mmo,mmv)-mbfo))*-1,IF(SUM($N$13:N208)&gt;=pmo,IF(($V208/ntudv)&gt;=pmv,IF(B209=MAX(mmo,mmv),-teo*(1+tcfo-incc)^(B209-mbfo),0),0),0)))</f>
        <v>0</v>
      </c>
      <c r="AY209" s="292" t="e">
        <f t="shared" si="182"/>
        <v>#DIV/0!</v>
      </c>
      <c r="AZ209" s="235" t="e">
        <f t="shared" si="172"/>
        <v>#DIV/0!</v>
      </c>
      <c r="BA209" s="269" t="e">
        <f t="shared" si="173"/>
        <v>#DIV/0!</v>
      </c>
      <c r="BB209" s="292" t="e">
        <f t="shared" si="174"/>
        <v>#DIV/0!</v>
      </c>
      <c r="BC209" s="238" t="e">
        <f>IF(SUM($BC$13:BC208)&gt;0,0,IF(BB209&gt;0,B209,0))</f>
        <v>#DIV/0!</v>
      </c>
      <c r="BD209" s="292" t="e">
        <f>IF(BB209+SUM($BD$12:BD208)&gt;=0,0,-BB209-SUM($BD$12:BD208))</f>
        <v>#DIV/0!</v>
      </c>
      <c r="BE209" s="235" t="e">
        <f>BB209+SUM($BD$12:BD209)</f>
        <v>#DIV/0!</v>
      </c>
      <c r="BF209" s="292" t="e">
        <f>-MIN(BE209:$BE$501)-SUM(BF$12:$BF208)</f>
        <v>#DIV/0!</v>
      </c>
      <c r="BG209" s="235" t="e">
        <f t="shared" si="185"/>
        <v>#DIV/0!</v>
      </c>
    </row>
    <row r="210" spans="2:59">
      <c r="B210" s="246">
        <v>197</v>
      </c>
      <c r="C210" s="241">
        <f t="shared" si="184"/>
        <v>48674</v>
      </c>
      <c r="D210" s="229">
        <f t="shared" si="140"/>
        <v>4</v>
      </c>
      <c r="E210" s="230" t="str">
        <f t="shared" si="141"/>
        <v>-</v>
      </c>
      <c r="F210" s="231">
        <f t="shared" si="142"/>
        <v>0</v>
      </c>
      <c r="G210" s="231">
        <f t="shared" si="143"/>
        <v>0</v>
      </c>
      <c r="H210" s="231">
        <f t="shared" si="144"/>
        <v>0</v>
      </c>
      <c r="I210" s="268">
        <f t="shared" si="175"/>
        <v>0</v>
      </c>
      <c r="J210" s="269">
        <f t="shared" si="145"/>
        <v>0</v>
      </c>
      <c r="K210" s="269">
        <f t="shared" si="146"/>
        <v>0</v>
      </c>
      <c r="L210" s="269">
        <f t="shared" si="176"/>
        <v>0</v>
      </c>
      <c r="M210" s="269">
        <f t="shared" si="177"/>
        <v>0</v>
      </c>
      <c r="N210" s="233">
        <f>VLOOKUP(B210,Dados!$L$86:$P$90,5)</f>
        <v>0</v>
      </c>
      <c r="O210" s="270">
        <f t="shared" si="147"/>
        <v>0.99999999999999989</v>
      </c>
      <c r="P210" s="269">
        <f t="shared" si="148"/>
        <v>0</v>
      </c>
      <c r="Q210" s="269" t="e">
        <f t="shared" si="149"/>
        <v>#DIV/0!</v>
      </c>
      <c r="R210" s="269">
        <f t="shared" si="150"/>
        <v>0</v>
      </c>
      <c r="S210" s="269" t="e">
        <f t="shared" si="151"/>
        <v>#DIV/0!</v>
      </c>
      <c r="T210" s="269" t="e">
        <f t="shared" si="183"/>
        <v>#DIV/0!</v>
      </c>
      <c r="U210" s="234">
        <f t="shared" si="152"/>
        <v>0</v>
      </c>
      <c r="V210" s="232" t="e">
        <f t="shared" si="153"/>
        <v>#DIV/0!</v>
      </c>
      <c r="W210" s="269" t="e">
        <f t="shared" si="154"/>
        <v>#DIV/0!</v>
      </c>
      <c r="X210" s="235">
        <f t="shared" si="178"/>
        <v>0</v>
      </c>
      <c r="Y210" s="236">
        <f t="shared" si="155"/>
        <v>5</v>
      </c>
      <c r="Z210" s="236" t="e">
        <f t="shared" si="156"/>
        <v>#DIV/0!</v>
      </c>
      <c r="AA210" s="236">
        <f t="shared" si="157"/>
        <v>3</v>
      </c>
      <c r="AB210" s="236" t="e">
        <f t="shared" si="158"/>
        <v>#DIV/0!</v>
      </c>
      <c r="AC210" s="235">
        <f t="shared" si="159"/>
        <v>0</v>
      </c>
      <c r="AD210" s="235">
        <f t="shared" si="160"/>
        <v>0</v>
      </c>
      <c r="AE210" s="279">
        <f t="shared" si="161"/>
        <v>0</v>
      </c>
      <c r="AF210" s="232">
        <f t="shared" si="162"/>
        <v>0</v>
      </c>
      <c r="AG210" s="235">
        <f t="shared" si="163"/>
        <v>0</v>
      </c>
      <c r="AH210" s="269">
        <f t="shared" si="164"/>
        <v>0</v>
      </c>
      <c r="AI210" s="232">
        <f t="shared" si="165"/>
        <v>0</v>
      </c>
      <c r="AJ210" s="235">
        <f t="shared" si="166"/>
        <v>0</v>
      </c>
      <c r="AK210" s="269">
        <f t="shared" si="167"/>
        <v>0</v>
      </c>
      <c r="AL210" s="269">
        <f t="shared" si="179"/>
        <v>0</v>
      </c>
      <c r="AM210" s="281" t="e">
        <f>IF(B210&gt;=mpfo,pos*vvm*Dados!$E$122*(ntudv-SUM(U211:$U$301))-SUM($AM$13:AM209),0)</f>
        <v>#DIV/0!</v>
      </c>
      <c r="AN210" s="269" t="e">
        <f t="shared" si="168"/>
        <v>#DIV/0!</v>
      </c>
      <c r="AO210" s="232" t="e">
        <f t="shared" si="169"/>
        <v>#DIV/0!</v>
      </c>
      <c r="AP210" s="242" t="e">
        <f t="shared" si="170"/>
        <v>#DIV/0!</v>
      </c>
      <c r="AQ210" s="235" t="e">
        <f>IF(AP210+SUM($AQ$12:AQ209)&gt;=0,0,-AP210-SUM($AQ$12:AQ209))</f>
        <v>#DIV/0!</v>
      </c>
      <c r="AR210" s="235">
        <f>IF(SUM($N$13:N209)&gt;=pmo,IF(SUM(N209:$N$501)&gt;(1-pmo),B210,0),0)</f>
        <v>0</v>
      </c>
      <c r="AS210" s="235" t="e">
        <f>IF((SUM($U$13:$U209)/ntudv)&gt;=pmv,IF((SUM($U209:$U$501)/ntudv)&gt;(1-pmv),B210,0),0)</f>
        <v>#DIV/0!</v>
      </c>
      <c r="AT210" s="237" t="e">
        <f>IF(MAX(mmo,mmv)=mmo,IF(B210=AR210,(SUM(N$13:$N209)-pmo)/((1-VLOOKUP(MAX(mmo,mmv)-1,$B$13:$O$501,14))+(VLOOKUP(MAX(mmo,mmv)-1,$B$13:$O$501,14)-pmo)),N209/((1-VLOOKUP(MAX(mmo,mmv)-1,$B$13:$O$501,14)+(VLOOKUP(MAX(mmo,mmv)-1,$B$13:$O$501,14)-pmo)))),N209/(1-VLOOKUP(MAX(mmo,mmv)-2,$B$13:$O$501,14)))</f>
        <v>#DIV/0!</v>
      </c>
      <c r="AU210" s="101" t="e">
        <f t="shared" si="180"/>
        <v>#DIV/0!</v>
      </c>
      <c r="AV210" s="287" t="e">
        <f t="shared" si="181"/>
        <v>#DIV/0!</v>
      </c>
      <c r="AW210" s="235" t="e">
        <f t="shared" si="171"/>
        <v>#DIV/0!</v>
      </c>
      <c r="AX210" s="281">
        <f>IF(B210&gt;mpfo,0,IF(B210=mpfo,(vld-teo*(1+tcfo-incc)^(MAX(mmo,mmv)-mbfo))*-1,IF(SUM($N$13:N209)&gt;=pmo,IF(($V209/ntudv)&gt;=pmv,IF(B210=MAX(mmo,mmv),-teo*(1+tcfo-incc)^(B210-mbfo),0),0),0)))</f>
        <v>0</v>
      </c>
      <c r="AY210" s="292" t="e">
        <f t="shared" si="182"/>
        <v>#DIV/0!</v>
      </c>
      <c r="AZ210" s="235" t="e">
        <f t="shared" si="172"/>
        <v>#DIV/0!</v>
      </c>
      <c r="BA210" s="269" t="e">
        <f t="shared" si="173"/>
        <v>#DIV/0!</v>
      </c>
      <c r="BB210" s="292" t="e">
        <f t="shared" si="174"/>
        <v>#DIV/0!</v>
      </c>
      <c r="BC210" s="238" t="e">
        <f>IF(SUM($BC$13:BC209)&gt;0,0,IF(BB210&gt;0,B210,0))</f>
        <v>#DIV/0!</v>
      </c>
      <c r="BD210" s="292" t="e">
        <f>IF(BB210+SUM($BD$12:BD209)&gt;=0,0,-BB210-SUM($BD$12:BD209))</f>
        <v>#DIV/0!</v>
      </c>
      <c r="BE210" s="235" t="e">
        <f>BB210+SUM($BD$12:BD210)</f>
        <v>#DIV/0!</v>
      </c>
      <c r="BF210" s="292" t="e">
        <f>-MIN(BE210:$BE$501)-SUM(BF$12:$BF209)</f>
        <v>#DIV/0!</v>
      </c>
      <c r="BG210" s="235" t="e">
        <f t="shared" si="185"/>
        <v>#DIV/0!</v>
      </c>
    </row>
    <row r="211" spans="2:59">
      <c r="B211" s="120">
        <v>198</v>
      </c>
      <c r="C211" s="241">
        <f t="shared" si="184"/>
        <v>48704</v>
      </c>
      <c r="D211" s="229">
        <f t="shared" si="140"/>
        <v>5</v>
      </c>
      <c r="E211" s="230" t="str">
        <f t="shared" si="141"/>
        <v>-</v>
      </c>
      <c r="F211" s="231">
        <f t="shared" si="142"/>
        <v>0</v>
      </c>
      <c r="G211" s="231">
        <f t="shared" si="143"/>
        <v>0</v>
      </c>
      <c r="H211" s="231">
        <f t="shared" si="144"/>
        <v>0</v>
      </c>
      <c r="I211" s="268">
        <f t="shared" si="175"/>
        <v>0</v>
      </c>
      <c r="J211" s="269">
        <f t="shared" si="145"/>
        <v>0</v>
      </c>
      <c r="K211" s="269">
        <f t="shared" si="146"/>
        <v>0</v>
      </c>
      <c r="L211" s="269">
        <f t="shared" si="176"/>
        <v>0</v>
      </c>
      <c r="M211" s="269">
        <f t="shared" si="177"/>
        <v>0</v>
      </c>
      <c r="N211" s="233">
        <f>VLOOKUP(B211,Dados!$L$86:$P$90,5)</f>
        <v>0</v>
      </c>
      <c r="O211" s="270">
        <f t="shared" si="147"/>
        <v>0.99999999999999989</v>
      </c>
      <c r="P211" s="269">
        <f t="shared" si="148"/>
        <v>0</v>
      </c>
      <c r="Q211" s="269" t="e">
        <f t="shared" si="149"/>
        <v>#DIV/0!</v>
      </c>
      <c r="R211" s="269">
        <f t="shared" si="150"/>
        <v>0</v>
      </c>
      <c r="S211" s="269" t="e">
        <f t="shared" si="151"/>
        <v>#DIV/0!</v>
      </c>
      <c r="T211" s="269" t="e">
        <f t="shared" si="183"/>
        <v>#DIV/0!</v>
      </c>
      <c r="U211" s="234">
        <f t="shared" si="152"/>
        <v>0</v>
      </c>
      <c r="V211" s="232" t="e">
        <f t="shared" si="153"/>
        <v>#DIV/0!</v>
      </c>
      <c r="W211" s="269" t="e">
        <f t="shared" si="154"/>
        <v>#DIV/0!</v>
      </c>
      <c r="X211" s="235">
        <f t="shared" si="178"/>
        <v>0</v>
      </c>
      <c r="Y211" s="236">
        <f t="shared" si="155"/>
        <v>5</v>
      </c>
      <c r="Z211" s="236" t="e">
        <f t="shared" si="156"/>
        <v>#DIV/0!</v>
      </c>
      <c r="AA211" s="236">
        <f t="shared" si="157"/>
        <v>3</v>
      </c>
      <c r="AB211" s="236" t="e">
        <f t="shared" si="158"/>
        <v>#DIV/0!</v>
      </c>
      <c r="AC211" s="235">
        <f t="shared" si="159"/>
        <v>0</v>
      </c>
      <c r="AD211" s="235">
        <f t="shared" si="160"/>
        <v>0</v>
      </c>
      <c r="AE211" s="279">
        <f t="shared" si="161"/>
        <v>0</v>
      </c>
      <c r="AF211" s="232">
        <f t="shared" si="162"/>
        <v>0</v>
      </c>
      <c r="AG211" s="235">
        <f t="shared" si="163"/>
        <v>0</v>
      </c>
      <c r="AH211" s="269">
        <f t="shared" si="164"/>
        <v>0</v>
      </c>
      <c r="AI211" s="232">
        <f t="shared" si="165"/>
        <v>0</v>
      </c>
      <c r="AJ211" s="235">
        <f t="shared" si="166"/>
        <v>0</v>
      </c>
      <c r="AK211" s="269">
        <f t="shared" si="167"/>
        <v>0</v>
      </c>
      <c r="AL211" s="269">
        <f t="shared" si="179"/>
        <v>0</v>
      </c>
      <c r="AM211" s="281" t="e">
        <f>IF(B211&gt;=mpfo,pos*vvm*Dados!$E$122*(ntudv-SUM(U212:$U$301))-SUM($AM$13:AM210),0)</f>
        <v>#DIV/0!</v>
      </c>
      <c r="AN211" s="269" t="e">
        <f t="shared" si="168"/>
        <v>#DIV/0!</v>
      </c>
      <c r="AO211" s="232" t="e">
        <f t="shared" si="169"/>
        <v>#DIV/0!</v>
      </c>
      <c r="AP211" s="242" t="e">
        <f t="shared" si="170"/>
        <v>#DIV/0!</v>
      </c>
      <c r="AQ211" s="235" t="e">
        <f>IF(AP211+SUM($AQ$12:AQ210)&gt;=0,0,-AP211-SUM($AQ$12:AQ210))</f>
        <v>#DIV/0!</v>
      </c>
      <c r="AR211" s="235">
        <f>IF(SUM($N$13:N210)&gt;=pmo,IF(SUM(N210:$N$501)&gt;(1-pmo),B211,0),0)</f>
        <v>0</v>
      </c>
      <c r="AS211" s="235" t="e">
        <f>IF((SUM($U$13:$U210)/ntudv)&gt;=pmv,IF((SUM($U210:$U$501)/ntudv)&gt;(1-pmv),B211,0),0)</f>
        <v>#DIV/0!</v>
      </c>
      <c r="AT211" s="237" t="e">
        <f>IF(MAX(mmo,mmv)=mmo,IF(B211=AR211,(SUM(N$13:$N210)-pmo)/((1-VLOOKUP(MAX(mmo,mmv)-1,$B$13:$O$501,14))+(VLOOKUP(MAX(mmo,mmv)-1,$B$13:$O$501,14)-pmo)),N210/((1-VLOOKUP(MAX(mmo,mmv)-1,$B$13:$O$501,14)+(VLOOKUP(MAX(mmo,mmv)-1,$B$13:$O$501,14)-pmo)))),N210/(1-VLOOKUP(MAX(mmo,mmv)-2,$B$13:$O$501,14)))</f>
        <v>#DIV/0!</v>
      </c>
      <c r="AU211" s="101" t="e">
        <f t="shared" si="180"/>
        <v>#DIV/0!</v>
      </c>
      <c r="AV211" s="287" t="e">
        <f t="shared" si="181"/>
        <v>#DIV/0!</v>
      </c>
      <c r="AW211" s="235" t="e">
        <f t="shared" si="171"/>
        <v>#DIV/0!</v>
      </c>
      <c r="AX211" s="281">
        <f>IF(B211&gt;mpfo,0,IF(B211=mpfo,(vld-teo*(1+tcfo-incc)^(MAX(mmo,mmv)-mbfo))*-1,IF(SUM($N$13:N210)&gt;=pmo,IF(($V210/ntudv)&gt;=pmv,IF(B211=MAX(mmo,mmv),-teo*(1+tcfo-incc)^(B211-mbfo),0),0),0)))</f>
        <v>0</v>
      </c>
      <c r="AY211" s="292" t="e">
        <f t="shared" si="182"/>
        <v>#DIV/0!</v>
      </c>
      <c r="AZ211" s="235" t="e">
        <f t="shared" si="172"/>
        <v>#DIV/0!</v>
      </c>
      <c r="BA211" s="269" t="e">
        <f t="shared" si="173"/>
        <v>#DIV/0!</v>
      </c>
      <c r="BB211" s="292" t="e">
        <f t="shared" si="174"/>
        <v>#DIV/0!</v>
      </c>
      <c r="BC211" s="238" t="e">
        <f>IF(SUM($BC$13:BC210)&gt;0,0,IF(BB211&gt;0,B211,0))</f>
        <v>#DIV/0!</v>
      </c>
      <c r="BD211" s="292" t="e">
        <f>IF(BB211+SUM($BD$12:BD210)&gt;=0,0,-BB211-SUM($BD$12:BD210))</f>
        <v>#DIV/0!</v>
      </c>
      <c r="BE211" s="235" t="e">
        <f>BB211+SUM($BD$12:BD211)</f>
        <v>#DIV/0!</v>
      </c>
      <c r="BF211" s="292" t="e">
        <f>-MIN(BE211:$BE$501)-SUM(BF$12:$BF210)</f>
        <v>#DIV/0!</v>
      </c>
      <c r="BG211" s="235" t="e">
        <f t="shared" si="185"/>
        <v>#DIV/0!</v>
      </c>
    </row>
    <row r="212" spans="2:59">
      <c r="B212" s="246">
        <v>199</v>
      </c>
      <c r="C212" s="241">
        <f t="shared" si="184"/>
        <v>48735</v>
      </c>
      <c r="D212" s="229">
        <f t="shared" si="140"/>
        <v>6</v>
      </c>
      <c r="E212" s="230" t="str">
        <f t="shared" si="141"/>
        <v>-</v>
      </c>
      <c r="F212" s="231">
        <f t="shared" si="142"/>
        <v>0</v>
      </c>
      <c r="G212" s="231">
        <f t="shared" si="143"/>
        <v>0</v>
      </c>
      <c r="H212" s="231">
        <f t="shared" si="144"/>
        <v>0</v>
      </c>
      <c r="I212" s="268">
        <f t="shared" si="175"/>
        <v>0</v>
      </c>
      <c r="J212" s="269">
        <f t="shared" si="145"/>
        <v>0</v>
      </c>
      <c r="K212" s="269">
        <f t="shared" si="146"/>
        <v>0</v>
      </c>
      <c r="L212" s="269">
        <f t="shared" si="176"/>
        <v>0</v>
      </c>
      <c r="M212" s="269">
        <f t="shared" si="177"/>
        <v>0</v>
      </c>
      <c r="N212" s="233">
        <f>VLOOKUP(B212,Dados!$L$86:$P$90,5)</f>
        <v>0</v>
      </c>
      <c r="O212" s="270">
        <f t="shared" si="147"/>
        <v>0.99999999999999989</v>
      </c>
      <c r="P212" s="269">
        <f t="shared" si="148"/>
        <v>0</v>
      </c>
      <c r="Q212" s="269" t="e">
        <f t="shared" si="149"/>
        <v>#DIV/0!</v>
      </c>
      <c r="R212" s="269">
        <f t="shared" si="150"/>
        <v>0</v>
      </c>
      <c r="S212" s="269" t="e">
        <f t="shared" si="151"/>
        <v>#DIV/0!</v>
      </c>
      <c r="T212" s="269" t="e">
        <f t="shared" si="183"/>
        <v>#DIV/0!</v>
      </c>
      <c r="U212" s="234">
        <f t="shared" si="152"/>
        <v>0</v>
      </c>
      <c r="V212" s="232" t="e">
        <f t="shared" si="153"/>
        <v>#DIV/0!</v>
      </c>
      <c r="W212" s="269" t="e">
        <f t="shared" si="154"/>
        <v>#DIV/0!</v>
      </c>
      <c r="X212" s="235">
        <f t="shared" si="178"/>
        <v>0</v>
      </c>
      <c r="Y212" s="236">
        <f t="shared" si="155"/>
        <v>5</v>
      </c>
      <c r="Z212" s="236" t="e">
        <f t="shared" si="156"/>
        <v>#DIV/0!</v>
      </c>
      <c r="AA212" s="236">
        <f t="shared" si="157"/>
        <v>3</v>
      </c>
      <c r="AB212" s="236" t="e">
        <f t="shared" si="158"/>
        <v>#DIV/0!</v>
      </c>
      <c r="AC212" s="235">
        <f t="shared" si="159"/>
        <v>0</v>
      </c>
      <c r="AD212" s="235">
        <f t="shared" si="160"/>
        <v>0</v>
      </c>
      <c r="AE212" s="279">
        <f t="shared" si="161"/>
        <v>0</v>
      </c>
      <c r="AF212" s="232">
        <f t="shared" si="162"/>
        <v>1</v>
      </c>
      <c r="AG212" s="235">
        <f t="shared" si="163"/>
        <v>0</v>
      </c>
      <c r="AH212" s="269">
        <f t="shared" si="164"/>
        <v>0</v>
      </c>
      <c r="AI212" s="232">
        <f t="shared" si="165"/>
        <v>0</v>
      </c>
      <c r="AJ212" s="235">
        <f t="shared" si="166"/>
        <v>0</v>
      </c>
      <c r="AK212" s="269">
        <f t="shared" si="167"/>
        <v>0</v>
      </c>
      <c r="AL212" s="269">
        <f t="shared" si="179"/>
        <v>0</v>
      </c>
      <c r="AM212" s="281" t="e">
        <f>IF(B212&gt;=mpfo,pos*vvm*Dados!$E$122*(ntudv-SUM(U213:$U$301))-SUM($AM$13:AM211),0)</f>
        <v>#DIV/0!</v>
      </c>
      <c r="AN212" s="269" t="e">
        <f t="shared" si="168"/>
        <v>#DIV/0!</v>
      </c>
      <c r="AO212" s="232" t="e">
        <f t="shared" si="169"/>
        <v>#DIV/0!</v>
      </c>
      <c r="AP212" s="242" t="e">
        <f t="shared" si="170"/>
        <v>#DIV/0!</v>
      </c>
      <c r="AQ212" s="235" t="e">
        <f>IF(AP212+SUM($AQ$12:AQ211)&gt;=0,0,-AP212-SUM($AQ$12:AQ211))</f>
        <v>#DIV/0!</v>
      </c>
      <c r="AR212" s="235">
        <f>IF(SUM($N$13:N211)&gt;=pmo,IF(SUM(N211:$N$501)&gt;(1-pmo),B212,0),0)</f>
        <v>0</v>
      </c>
      <c r="AS212" s="235" t="e">
        <f>IF((SUM($U$13:$U211)/ntudv)&gt;=pmv,IF((SUM($U211:$U$501)/ntudv)&gt;(1-pmv),B212,0),0)</f>
        <v>#DIV/0!</v>
      </c>
      <c r="AT212" s="237" t="e">
        <f>IF(MAX(mmo,mmv)=mmo,IF(B212=AR212,(SUM(N$13:$N211)-pmo)/((1-VLOOKUP(MAX(mmo,mmv)-1,$B$13:$O$501,14))+(VLOOKUP(MAX(mmo,mmv)-1,$B$13:$O$501,14)-pmo)),N211/((1-VLOOKUP(MAX(mmo,mmv)-1,$B$13:$O$501,14)+(VLOOKUP(MAX(mmo,mmv)-1,$B$13:$O$501,14)-pmo)))),N211/(1-VLOOKUP(MAX(mmo,mmv)-2,$B$13:$O$501,14)))</f>
        <v>#DIV/0!</v>
      </c>
      <c r="AU212" s="101" t="e">
        <f t="shared" si="180"/>
        <v>#DIV/0!</v>
      </c>
      <c r="AV212" s="287" t="e">
        <f t="shared" si="181"/>
        <v>#DIV/0!</v>
      </c>
      <c r="AW212" s="235" t="e">
        <f t="shared" si="171"/>
        <v>#DIV/0!</v>
      </c>
      <c r="AX212" s="281">
        <f>IF(B212&gt;mpfo,0,IF(B212=mpfo,(vld-teo*(1+tcfo-incc)^(MAX(mmo,mmv)-mbfo))*-1,IF(SUM($N$13:N211)&gt;=pmo,IF(($V211/ntudv)&gt;=pmv,IF(B212=MAX(mmo,mmv),-teo*(1+tcfo-incc)^(B212-mbfo),0),0),0)))</f>
        <v>0</v>
      </c>
      <c r="AY212" s="292" t="e">
        <f t="shared" si="182"/>
        <v>#DIV/0!</v>
      </c>
      <c r="AZ212" s="235" t="e">
        <f t="shared" si="172"/>
        <v>#DIV/0!</v>
      </c>
      <c r="BA212" s="269" t="e">
        <f t="shared" si="173"/>
        <v>#DIV/0!</v>
      </c>
      <c r="BB212" s="292" t="e">
        <f t="shared" si="174"/>
        <v>#DIV/0!</v>
      </c>
      <c r="BC212" s="238" t="e">
        <f>IF(SUM($BC$13:BC211)&gt;0,0,IF(BB212&gt;0,B212,0))</f>
        <v>#DIV/0!</v>
      </c>
      <c r="BD212" s="292" t="e">
        <f>IF(BB212+SUM($BD$12:BD211)&gt;=0,0,-BB212-SUM($BD$12:BD211))</f>
        <v>#DIV/0!</v>
      </c>
      <c r="BE212" s="235" t="e">
        <f>BB212+SUM($BD$12:BD212)</f>
        <v>#DIV/0!</v>
      </c>
      <c r="BF212" s="292" t="e">
        <f>-MIN(BE212:$BE$501)-SUM(BF$12:$BF211)</f>
        <v>#DIV/0!</v>
      </c>
      <c r="BG212" s="235" t="e">
        <f t="shared" si="185"/>
        <v>#DIV/0!</v>
      </c>
    </row>
    <row r="213" spans="2:59">
      <c r="B213" s="120">
        <v>200</v>
      </c>
      <c r="C213" s="241">
        <f t="shared" si="184"/>
        <v>48765</v>
      </c>
      <c r="D213" s="229">
        <f t="shared" si="140"/>
        <v>7</v>
      </c>
      <c r="E213" s="230" t="str">
        <f t="shared" si="141"/>
        <v>-</v>
      </c>
      <c r="F213" s="231">
        <f t="shared" si="142"/>
        <v>0</v>
      </c>
      <c r="G213" s="231">
        <f t="shared" si="143"/>
        <v>0</v>
      </c>
      <c r="H213" s="231">
        <f t="shared" si="144"/>
        <v>0</v>
      </c>
      <c r="I213" s="268">
        <f t="shared" si="175"/>
        <v>0</v>
      </c>
      <c r="J213" s="269">
        <f t="shared" si="145"/>
        <v>0</v>
      </c>
      <c r="K213" s="269">
        <f t="shared" si="146"/>
        <v>0</v>
      </c>
      <c r="L213" s="269">
        <f t="shared" si="176"/>
        <v>0</v>
      </c>
      <c r="M213" s="269">
        <f t="shared" si="177"/>
        <v>0</v>
      </c>
      <c r="N213" s="233">
        <f>VLOOKUP(B213,Dados!$L$86:$P$90,5)</f>
        <v>0</v>
      </c>
      <c r="O213" s="270">
        <f t="shared" si="147"/>
        <v>0.99999999999999989</v>
      </c>
      <c r="P213" s="269">
        <f t="shared" si="148"/>
        <v>0</v>
      </c>
      <c r="Q213" s="269" t="e">
        <f t="shared" si="149"/>
        <v>#DIV/0!</v>
      </c>
      <c r="R213" s="269">
        <f t="shared" si="150"/>
        <v>0</v>
      </c>
      <c r="S213" s="269" t="e">
        <f t="shared" si="151"/>
        <v>#DIV/0!</v>
      </c>
      <c r="T213" s="269" t="e">
        <f t="shared" si="183"/>
        <v>#DIV/0!</v>
      </c>
      <c r="U213" s="234">
        <f t="shared" si="152"/>
        <v>0</v>
      </c>
      <c r="V213" s="232" t="e">
        <f t="shared" si="153"/>
        <v>#DIV/0!</v>
      </c>
      <c r="W213" s="269" t="e">
        <f t="shared" si="154"/>
        <v>#DIV/0!</v>
      </c>
      <c r="X213" s="235">
        <f t="shared" si="178"/>
        <v>0</v>
      </c>
      <c r="Y213" s="236">
        <f t="shared" si="155"/>
        <v>5</v>
      </c>
      <c r="Z213" s="236" t="e">
        <f t="shared" si="156"/>
        <v>#DIV/0!</v>
      </c>
      <c r="AA213" s="236">
        <f t="shared" si="157"/>
        <v>3</v>
      </c>
      <c r="AB213" s="236" t="e">
        <f t="shared" si="158"/>
        <v>#DIV/0!</v>
      </c>
      <c r="AC213" s="235">
        <f t="shared" si="159"/>
        <v>0</v>
      </c>
      <c r="AD213" s="235">
        <f t="shared" si="160"/>
        <v>0</v>
      </c>
      <c r="AE213" s="279">
        <f t="shared" si="161"/>
        <v>0</v>
      </c>
      <c r="AF213" s="232">
        <f t="shared" si="162"/>
        <v>0</v>
      </c>
      <c r="AG213" s="235">
        <f t="shared" si="163"/>
        <v>0</v>
      </c>
      <c r="AH213" s="269">
        <f t="shared" si="164"/>
        <v>0</v>
      </c>
      <c r="AI213" s="232">
        <f t="shared" si="165"/>
        <v>0</v>
      </c>
      <c r="AJ213" s="235">
        <f t="shared" si="166"/>
        <v>0</v>
      </c>
      <c r="AK213" s="269">
        <f t="shared" si="167"/>
        <v>0</v>
      </c>
      <c r="AL213" s="269">
        <f t="shared" si="179"/>
        <v>0</v>
      </c>
      <c r="AM213" s="281" t="e">
        <f>IF(B213&gt;=mpfo,pos*vvm*Dados!$E$122*(ntudv-SUM(U214:$U$301))-SUM($AM$13:AM212),0)</f>
        <v>#DIV/0!</v>
      </c>
      <c r="AN213" s="269" t="e">
        <f t="shared" si="168"/>
        <v>#DIV/0!</v>
      </c>
      <c r="AO213" s="232" t="e">
        <f t="shared" si="169"/>
        <v>#DIV/0!</v>
      </c>
      <c r="AP213" s="242" t="e">
        <f t="shared" si="170"/>
        <v>#DIV/0!</v>
      </c>
      <c r="AQ213" s="235" t="e">
        <f>IF(AP213+SUM($AQ$12:AQ212)&gt;=0,0,-AP213-SUM($AQ$12:AQ212))</f>
        <v>#DIV/0!</v>
      </c>
      <c r="AR213" s="235">
        <f>IF(SUM($N$13:N212)&gt;=pmo,IF(SUM(N212:$N$501)&gt;(1-pmo),B213,0),0)</f>
        <v>0</v>
      </c>
      <c r="AS213" s="235" t="e">
        <f>IF((SUM($U$13:$U212)/ntudv)&gt;=pmv,IF((SUM($U212:$U$501)/ntudv)&gt;(1-pmv),B213,0),0)</f>
        <v>#DIV/0!</v>
      </c>
      <c r="AT213" s="237" t="e">
        <f>IF(MAX(mmo,mmv)=mmo,IF(B213=AR213,(SUM(N$13:$N212)-pmo)/((1-VLOOKUP(MAX(mmo,mmv)-1,$B$13:$O$501,14))+(VLOOKUP(MAX(mmo,mmv)-1,$B$13:$O$501,14)-pmo)),N212/((1-VLOOKUP(MAX(mmo,mmv)-1,$B$13:$O$501,14)+(VLOOKUP(MAX(mmo,mmv)-1,$B$13:$O$501,14)-pmo)))),N212/(1-VLOOKUP(MAX(mmo,mmv)-2,$B$13:$O$501,14)))</f>
        <v>#DIV/0!</v>
      </c>
      <c r="AU213" s="101" t="e">
        <f t="shared" si="180"/>
        <v>#DIV/0!</v>
      </c>
      <c r="AV213" s="287" t="e">
        <f t="shared" si="181"/>
        <v>#DIV/0!</v>
      </c>
      <c r="AW213" s="235" t="e">
        <f t="shared" si="171"/>
        <v>#DIV/0!</v>
      </c>
      <c r="AX213" s="281">
        <f>IF(B213&gt;mpfo,0,IF(B213=mpfo,(vld-teo*(1+tcfo-incc)^(MAX(mmo,mmv)-mbfo))*-1,IF(SUM($N$13:N212)&gt;=pmo,IF(($V212/ntudv)&gt;=pmv,IF(B213=MAX(mmo,mmv),-teo*(1+tcfo-incc)^(B213-mbfo),0),0),0)))</f>
        <v>0</v>
      </c>
      <c r="AY213" s="292" t="e">
        <f t="shared" si="182"/>
        <v>#DIV/0!</v>
      </c>
      <c r="AZ213" s="235" t="e">
        <f t="shared" si="172"/>
        <v>#DIV/0!</v>
      </c>
      <c r="BA213" s="269" t="e">
        <f t="shared" si="173"/>
        <v>#DIV/0!</v>
      </c>
      <c r="BB213" s="292" t="e">
        <f t="shared" si="174"/>
        <v>#DIV/0!</v>
      </c>
      <c r="BC213" s="238" t="e">
        <f>IF(SUM($BC$13:BC212)&gt;0,0,IF(BB213&gt;0,B213,0))</f>
        <v>#DIV/0!</v>
      </c>
      <c r="BD213" s="292" t="e">
        <f>IF(BB213+SUM($BD$12:BD212)&gt;=0,0,-BB213-SUM($BD$12:BD212))</f>
        <v>#DIV/0!</v>
      </c>
      <c r="BE213" s="235" t="e">
        <f>BB213+SUM($BD$12:BD213)</f>
        <v>#DIV/0!</v>
      </c>
      <c r="BF213" s="292" t="e">
        <f>-MIN(BE213:$BE$501)-SUM(BF$12:$BF212)</f>
        <v>#DIV/0!</v>
      </c>
      <c r="BG213" s="235" t="e">
        <f t="shared" si="185"/>
        <v>#DIV/0!</v>
      </c>
    </row>
    <row r="214" spans="2:59">
      <c r="B214" s="246">
        <v>201</v>
      </c>
      <c r="C214" s="241">
        <f t="shared" si="184"/>
        <v>48796</v>
      </c>
      <c r="D214" s="229">
        <f t="shared" si="140"/>
        <v>8</v>
      </c>
      <c r="E214" s="230" t="str">
        <f t="shared" si="141"/>
        <v>-</v>
      </c>
      <c r="F214" s="231">
        <f t="shared" si="142"/>
        <v>0</v>
      </c>
      <c r="G214" s="231">
        <f t="shared" si="143"/>
        <v>0</v>
      </c>
      <c r="H214" s="231">
        <f t="shared" si="144"/>
        <v>0</v>
      </c>
      <c r="I214" s="268">
        <f t="shared" si="175"/>
        <v>0</v>
      </c>
      <c r="J214" s="269">
        <f t="shared" si="145"/>
        <v>0</v>
      </c>
      <c r="K214" s="269">
        <f t="shared" si="146"/>
        <v>0</v>
      </c>
      <c r="L214" s="269">
        <f t="shared" si="176"/>
        <v>0</v>
      </c>
      <c r="M214" s="269">
        <f t="shared" si="177"/>
        <v>0</v>
      </c>
      <c r="N214" s="233">
        <f>VLOOKUP(B214,Dados!$L$86:$P$90,5)</f>
        <v>0</v>
      </c>
      <c r="O214" s="270">
        <f t="shared" si="147"/>
        <v>0.99999999999999989</v>
      </c>
      <c r="P214" s="269">
        <f t="shared" si="148"/>
        <v>0</v>
      </c>
      <c r="Q214" s="269" t="e">
        <f t="shared" si="149"/>
        <v>#DIV/0!</v>
      </c>
      <c r="R214" s="269">
        <f t="shared" si="150"/>
        <v>0</v>
      </c>
      <c r="S214" s="269" t="e">
        <f t="shared" si="151"/>
        <v>#DIV/0!</v>
      </c>
      <c r="T214" s="269" t="e">
        <f t="shared" si="183"/>
        <v>#DIV/0!</v>
      </c>
      <c r="U214" s="234">
        <f t="shared" si="152"/>
        <v>0</v>
      </c>
      <c r="V214" s="232" t="e">
        <f t="shared" si="153"/>
        <v>#DIV/0!</v>
      </c>
      <c r="W214" s="269" t="e">
        <f t="shared" si="154"/>
        <v>#DIV/0!</v>
      </c>
      <c r="X214" s="235">
        <f t="shared" si="178"/>
        <v>0</v>
      </c>
      <c r="Y214" s="236">
        <f t="shared" si="155"/>
        <v>5</v>
      </c>
      <c r="Z214" s="236" t="e">
        <f t="shared" si="156"/>
        <v>#DIV/0!</v>
      </c>
      <c r="AA214" s="236">
        <f t="shared" si="157"/>
        <v>3</v>
      </c>
      <c r="AB214" s="236" t="e">
        <f t="shared" si="158"/>
        <v>#DIV/0!</v>
      </c>
      <c r="AC214" s="235">
        <f t="shared" si="159"/>
        <v>0</v>
      </c>
      <c r="AD214" s="235">
        <f t="shared" si="160"/>
        <v>0</v>
      </c>
      <c r="AE214" s="279">
        <f t="shared" si="161"/>
        <v>0</v>
      </c>
      <c r="AF214" s="232">
        <f t="shared" si="162"/>
        <v>0</v>
      </c>
      <c r="AG214" s="235">
        <f t="shared" si="163"/>
        <v>0</v>
      </c>
      <c r="AH214" s="269">
        <f t="shared" si="164"/>
        <v>0</v>
      </c>
      <c r="AI214" s="232">
        <f t="shared" si="165"/>
        <v>0</v>
      </c>
      <c r="AJ214" s="235">
        <f t="shared" si="166"/>
        <v>0</v>
      </c>
      <c r="AK214" s="269">
        <f t="shared" si="167"/>
        <v>0</v>
      </c>
      <c r="AL214" s="269">
        <f t="shared" si="179"/>
        <v>0</v>
      </c>
      <c r="AM214" s="281" t="e">
        <f>IF(B214&gt;=mpfo,pos*vvm*Dados!$E$122*(ntudv-SUM(U215:$U$301))-SUM($AM$13:AM213),0)</f>
        <v>#DIV/0!</v>
      </c>
      <c r="AN214" s="269" t="e">
        <f t="shared" si="168"/>
        <v>#DIV/0!</v>
      </c>
      <c r="AO214" s="232" t="e">
        <f t="shared" si="169"/>
        <v>#DIV/0!</v>
      </c>
      <c r="AP214" s="242" t="e">
        <f t="shared" si="170"/>
        <v>#DIV/0!</v>
      </c>
      <c r="AQ214" s="235" t="e">
        <f>IF(AP214+SUM($AQ$12:AQ213)&gt;=0,0,-AP214-SUM($AQ$12:AQ213))</f>
        <v>#DIV/0!</v>
      </c>
      <c r="AR214" s="235">
        <f>IF(SUM($N$13:N213)&gt;=pmo,IF(SUM(N213:$N$501)&gt;(1-pmo),B214,0),0)</f>
        <v>0</v>
      </c>
      <c r="AS214" s="235" t="e">
        <f>IF((SUM($U$13:$U213)/ntudv)&gt;=pmv,IF((SUM($U213:$U$501)/ntudv)&gt;(1-pmv),B214,0),0)</f>
        <v>#DIV/0!</v>
      </c>
      <c r="AT214" s="237" t="e">
        <f>IF(MAX(mmo,mmv)=mmo,IF(B214=AR214,(SUM(N$13:$N213)-pmo)/((1-VLOOKUP(MAX(mmo,mmv)-1,$B$13:$O$501,14))+(VLOOKUP(MAX(mmo,mmv)-1,$B$13:$O$501,14)-pmo)),N213/((1-VLOOKUP(MAX(mmo,mmv)-1,$B$13:$O$501,14)+(VLOOKUP(MAX(mmo,mmv)-1,$B$13:$O$501,14)-pmo)))),N213/(1-VLOOKUP(MAX(mmo,mmv)-2,$B$13:$O$501,14)))</f>
        <v>#DIV/0!</v>
      </c>
      <c r="AU214" s="101" t="e">
        <f t="shared" si="180"/>
        <v>#DIV/0!</v>
      </c>
      <c r="AV214" s="287" t="e">
        <f t="shared" si="181"/>
        <v>#DIV/0!</v>
      </c>
      <c r="AW214" s="235" t="e">
        <f t="shared" si="171"/>
        <v>#DIV/0!</v>
      </c>
      <c r="AX214" s="281">
        <f>IF(B214&gt;mpfo,0,IF(B214=mpfo,(vld-teo*(1+tcfo-incc)^(MAX(mmo,mmv)-mbfo))*-1,IF(SUM($N$13:N213)&gt;=pmo,IF(($V213/ntudv)&gt;=pmv,IF(B214=MAX(mmo,mmv),-teo*(1+tcfo-incc)^(B214-mbfo),0),0),0)))</f>
        <v>0</v>
      </c>
      <c r="AY214" s="292" t="e">
        <f t="shared" si="182"/>
        <v>#DIV/0!</v>
      </c>
      <c r="AZ214" s="235" t="e">
        <f t="shared" si="172"/>
        <v>#DIV/0!</v>
      </c>
      <c r="BA214" s="269" t="e">
        <f t="shared" si="173"/>
        <v>#DIV/0!</v>
      </c>
      <c r="BB214" s="292" t="e">
        <f t="shared" si="174"/>
        <v>#DIV/0!</v>
      </c>
      <c r="BC214" s="238" t="e">
        <f>IF(SUM($BC$13:BC213)&gt;0,0,IF(BB214&gt;0,B214,0))</f>
        <v>#DIV/0!</v>
      </c>
      <c r="BD214" s="292" t="e">
        <f>IF(BB214+SUM($BD$12:BD213)&gt;=0,0,-BB214-SUM($BD$12:BD213))</f>
        <v>#DIV/0!</v>
      </c>
      <c r="BE214" s="235" t="e">
        <f>BB214+SUM($BD$12:BD214)</f>
        <v>#DIV/0!</v>
      </c>
      <c r="BF214" s="292" t="e">
        <f>-MIN(BE214:$BE$501)-SUM(BF$12:$BF213)</f>
        <v>#DIV/0!</v>
      </c>
      <c r="BG214" s="235" t="e">
        <f t="shared" si="185"/>
        <v>#DIV/0!</v>
      </c>
    </row>
    <row r="215" spans="2:59">
      <c r="B215" s="120">
        <v>202</v>
      </c>
      <c r="C215" s="241">
        <f t="shared" si="184"/>
        <v>48827</v>
      </c>
      <c r="D215" s="229">
        <f t="shared" si="140"/>
        <v>9</v>
      </c>
      <c r="E215" s="230" t="str">
        <f t="shared" si="141"/>
        <v>-</v>
      </c>
      <c r="F215" s="231">
        <f t="shared" si="142"/>
        <v>0</v>
      </c>
      <c r="G215" s="231">
        <f t="shared" si="143"/>
        <v>0</v>
      </c>
      <c r="H215" s="231">
        <f t="shared" si="144"/>
        <v>0</v>
      </c>
      <c r="I215" s="268">
        <f t="shared" si="175"/>
        <v>0</v>
      </c>
      <c r="J215" s="269">
        <f t="shared" si="145"/>
        <v>0</v>
      </c>
      <c r="K215" s="269">
        <f t="shared" si="146"/>
        <v>0</v>
      </c>
      <c r="L215" s="269">
        <f t="shared" si="176"/>
        <v>0</v>
      </c>
      <c r="M215" s="269">
        <f t="shared" si="177"/>
        <v>0</v>
      </c>
      <c r="N215" s="233">
        <f>VLOOKUP(B215,Dados!$L$86:$P$90,5)</f>
        <v>0</v>
      </c>
      <c r="O215" s="270">
        <f t="shared" si="147"/>
        <v>0.99999999999999989</v>
      </c>
      <c r="P215" s="269">
        <f t="shared" si="148"/>
        <v>0</v>
      </c>
      <c r="Q215" s="269" t="e">
        <f t="shared" si="149"/>
        <v>#DIV/0!</v>
      </c>
      <c r="R215" s="269">
        <f t="shared" si="150"/>
        <v>0</v>
      </c>
      <c r="S215" s="269" t="e">
        <f t="shared" si="151"/>
        <v>#DIV/0!</v>
      </c>
      <c r="T215" s="269" t="e">
        <f t="shared" si="183"/>
        <v>#DIV/0!</v>
      </c>
      <c r="U215" s="234">
        <f t="shared" si="152"/>
        <v>0</v>
      </c>
      <c r="V215" s="232" t="e">
        <f t="shared" si="153"/>
        <v>#DIV/0!</v>
      </c>
      <c r="W215" s="269" t="e">
        <f t="shared" si="154"/>
        <v>#DIV/0!</v>
      </c>
      <c r="X215" s="235">
        <f t="shared" si="178"/>
        <v>0</v>
      </c>
      <c r="Y215" s="236">
        <f t="shared" si="155"/>
        <v>5</v>
      </c>
      <c r="Z215" s="236" t="e">
        <f t="shared" si="156"/>
        <v>#DIV/0!</v>
      </c>
      <c r="AA215" s="236">
        <f t="shared" si="157"/>
        <v>3</v>
      </c>
      <c r="AB215" s="236" t="e">
        <f t="shared" si="158"/>
        <v>#DIV/0!</v>
      </c>
      <c r="AC215" s="235">
        <f t="shared" si="159"/>
        <v>0</v>
      </c>
      <c r="AD215" s="235">
        <f t="shared" si="160"/>
        <v>0</v>
      </c>
      <c r="AE215" s="279">
        <f t="shared" si="161"/>
        <v>0</v>
      </c>
      <c r="AF215" s="232">
        <f t="shared" si="162"/>
        <v>0</v>
      </c>
      <c r="AG215" s="235">
        <f t="shared" si="163"/>
        <v>0</v>
      </c>
      <c r="AH215" s="269">
        <f t="shared" si="164"/>
        <v>0</v>
      </c>
      <c r="AI215" s="232">
        <f t="shared" si="165"/>
        <v>0</v>
      </c>
      <c r="AJ215" s="235">
        <f t="shared" si="166"/>
        <v>0</v>
      </c>
      <c r="AK215" s="269">
        <f t="shared" si="167"/>
        <v>0</v>
      </c>
      <c r="AL215" s="269">
        <f t="shared" si="179"/>
        <v>0</v>
      </c>
      <c r="AM215" s="281" t="e">
        <f>IF(B215&gt;=mpfo,pos*vvm*Dados!$E$122*(ntudv-SUM(U216:$U$301))-SUM($AM$13:AM214),0)</f>
        <v>#DIV/0!</v>
      </c>
      <c r="AN215" s="269" t="e">
        <f t="shared" si="168"/>
        <v>#DIV/0!</v>
      </c>
      <c r="AO215" s="232" t="e">
        <f t="shared" si="169"/>
        <v>#DIV/0!</v>
      </c>
      <c r="AP215" s="242" t="e">
        <f t="shared" si="170"/>
        <v>#DIV/0!</v>
      </c>
      <c r="AQ215" s="235" t="e">
        <f>IF(AP215+SUM($AQ$12:AQ214)&gt;=0,0,-AP215-SUM($AQ$12:AQ214))</f>
        <v>#DIV/0!</v>
      </c>
      <c r="AR215" s="235">
        <f>IF(SUM($N$13:N214)&gt;=pmo,IF(SUM(N214:$N$501)&gt;(1-pmo),B215,0),0)</f>
        <v>0</v>
      </c>
      <c r="AS215" s="235" t="e">
        <f>IF((SUM($U$13:$U214)/ntudv)&gt;=pmv,IF((SUM($U214:$U$501)/ntudv)&gt;(1-pmv),B215,0),0)</f>
        <v>#DIV/0!</v>
      </c>
      <c r="AT215" s="237" t="e">
        <f>IF(MAX(mmo,mmv)=mmo,IF(B215=AR215,(SUM(N$13:$N214)-pmo)/((1-VLOOKUP(MAX(mmo,mmv)-1,$B$13:$O$501,14))+(VLOOKUP(MAX(mmo,mmv)-1,$B$13:$O$501,14)-pmo)),N214/((1-VLOOKUP(MAX(mmo,mmv)-1,$B$13:$O$501,14)+(VLOOKUP(MAX(mmo,mmv)-1,$B$13:$O$501,14)-pmo)))),N214/(1-VLOOKUP(MAX(mmo,mmv)-2,$B$13:$O$501,14)))</f>
        <v>#DIV/0!</v>
      </c>
      <c r="AU215" s="101" t="e">
        <f t="shared" si="180"/>
        <v>#DIV/0!</v>
      </c>
      <c r="AV215" s="287" t="e">
        <f t="shared" si="181"/>
        <v>#DIV/0!</v>
      </c>
      <c r="AW215" s="235" t="e">
        <f t="shared" si="171"/>
        <v>#DIV/0!</v>
      </c>
      <c r="AX215" s="281">
        <f>IF(B215&gt;mpfo,0,IF(B215=mpfo,(vld-teo*(1+tcfo-incc)^(MAX(mmo,mmv)-mbfo))*-1,IF(SUM($N$13:N214)&gt;=pmo,IF(($V214/ntudv)&gt;=pmv,IF(B215=MAX(mmo,mmv),-teo*(1+tcfo-incc)^(B215-mbfo),0),0),0)))</f>
        <v>0</v>
      </c>
      <c r="AY215" s="292" t="e">
        <f t="shared" si="182"/>
        <v>#DIV/0!</v>
      </c>
      <c r="AZ215" s="235" t="e">
        <f t="shared" si="172"/>
        <v>#DIV/0!</v>
      </c>
      <c r="BA215" s="269" t="e">
        <f t="shared" si="173"/>
        <v>#DIV/0!</v>
      </c>
      <c r="BB215" s="292" t="e">
        <f t="shared" si="174"/>
        <v>#DIV/0!</v>
      </c>
      <c r="BC215" s="238" t="e">
        <f>IF(SUM($BC$13:BC214)&gt;0,0,IF(BB215&gt;0,B215,0))</f>
        <v>#DIV/0!</v>
      </c>
      <c r="BD215" s="292" t="e">
        <f>IF(BB215+SUM($BD$12:BD214)&gt;=0,0,-BB215-SUM($BD$12:BD214))</f>
        <v>#DIV/0!</v>
      </c>
      <c r="BE215" s="235" t="e">
        <f>BB215+SUM($BD$12:BD215)</f>
        <v>#DIV/0!</v>
      </c>
      <c r="BF215" s="292" t="e">
        <f>-MIN(BE215:$BE$501)-SUM(BF$12:$BF214)</f>
        <v>#DIV/0!</v>
      </c>
      <c r="BG215" s="235" t="e">
        <f t="shared" si="185"/>
        <v>#DIV/0!</v>
      </c>
    </row>
    <row r="216" spans="2:59">
      <c r="B216" s="246">
        <v>203</v>
      </c>
      <c r="C216" s="241">
        <f t="shared" si="184"/>
        <v>48857</v>
      </c>
      <c r="D216" s="229">
        <f t="shared" ref="D216:D279" si="186">MONTH(C216)</f>
        <v>10</v>
      </c>
      <c r="E216" s="230" t="str">
        <f t="shared" ref="E216:E279" si="187">IF(B216=mpo,"Outorga",IF(B216=mpt,"Terreno",IF(B216=mlan,"Lançamento", IF(B216=mio,"Inic. Obras",IF(B216=mio+prazo-1,"Concl. Obras",IF(B216=mec,"Chaves", IF(B216=mpfo,"Pgto. Financ.","-")))))))</f>
        <v>-</v>
      </c>
      <c r="F216" s="231">
        <f t="shared" ref="F216:F279" si="188">IF(B216=mpo, voo,0)</f>
        <v>0</v>
      </c>
      <c r="G216" s="231">
        <f t="shared" ref="G216:G279" si="189">IF(B216&gt;(mpt+npt),0,IF(B216&lt;(mpt+npt+1),IF(B216&gt;mpt,(vtd-vst)/npt/(igpm+1)^B216,IF(B216=mpt,vst/(igpm+1)^B216,0))))</f>
        <v>0</v>
      </c>
      <c r="H216" s="231">
        <f t="shared" ref="H216:H279" si="190">IF(B216&gt;(mpt+npt),0,IF(B216&lt;(mpt+npt+1),IF(B216&gt;mpt,(vtd-vst)/npt/(delta+1)^B216,IF(B216=mpt,vst/(delta+1)^B216,0))))</f>
        <v>0</v>
      </c>
      <c r="I216" s="268">
        <f t="shared" si="175"/>
        <v>0</v>
      </c>
      <c r="J216" s="269">
        <f t="shared" ref="J216:J279" si="191">IF(B216=mpdt,dtt,0)*-1</f>
        <v>0</v>
      </c>
      <c r="K216" s="269">
        <f t="shared" ref="K216:K279" si="192">IF(B216&gt;mdji+npdji,0,IF(B216&lt;mdji+npdji,IF(B216&gt;=mdji,dji*vgv/npdji,0),0))*-1</f>
        <v>0</v>
      </c>
      <c r="L216" s="269">
        <f t="shared" si="176"/>
        <v>0</v>
      </c>
      <c r="M216" s="269">
        <f t="shared" si="177"/>
        <v>0</v>
      </c>
      <c r="N216" s="233">
        <f>VLOOKUP(B216,Dados!$L$86:$P$90,5)</f>
        <v>0</v>
      </c>
      <c r="O216" s="270">
        <f t="shared" ref="O216:O279" si="193">N216+O215</f>
        <v>0.99999999999999989</v>
      </c>
      <c r="P216" s="269">
        <f t="shared" ref="P216:P279" si="194">N216*cto*-1</f>
        <v>0</v>
      </c>
      <c r="Q216" s="269" t="e">
        <f t="shared" ref="Q216:Q279" si="195">AN216*pimp*-1</f>
        <v>#DIV/0!</v>
      </c>
      <c r="R216" s="269">
        <f t="shared" ref="R216:R279" si="196">IF(B216&gt;=1,IF(B216&lt;=(mec+6),padm*vgv/(mec+6),0),0)*-1</f>
        <v>0</v>
      </c>
      <c r="S216" s="269" t="e">
        <f t="shared" ref="S216:S279" si="197">U216*vvm*pcorr*-1</f>
        <v>#DIV/0!</v>
      </c>
      <c r="T216" s="269" t="e">
        <f t="shared" si="183"/>
        <v>#DIV/0!</v>
      </c>
      <c r="U216" s="234">
        <f t="shared" ref="U216:U279" si="198">VLOOKUP(B216,tabvv,4)</f>
        <v>0</v>
      </c>
      <c r="V216" s="232" t="e">
        <f t="shared" ref="V216:V279" si="199">V215+U216</f>
        <v>#DIV/0!</v>
      </c>
      <c r="W216" s="269" t="e">
        <f t="shared" ref="W216:W279" si="200">U216*vvm*sinal+X216+Z216+AB216</f>
        <v>#DIV/0!</v>
      </c>
      <c r="X216" s="235">
        <f t="shared" si="178"/>
        <v>0</v>
      </c>
      <c r="Y216" s="236">
        <f t="shared" ref="Y216:Y279" si="201">IF($B216&gt;mlan+5,IF($B216&lt;=mco,Y215+$AF215,+Y215),0)</f>
        <v>5</v>
      </c>
      <c r="Z216" s="236" t="e">
        <f t="shared" ref="Z216:Z279" si="202">Y216*vvm*sem*U216/npse</f>
        <v>#DIV/0!</v>
      </c>
      <c r="AA216" s="236">
        <f t="shared" ref="AA216:AA279" si="203">IF($B216&gt;mlan+5,IF($B216&lt;=mco,AA215+$AI215,+AA215),0)</f>
        <v>3</v>
      </c>
      <c r="AB216" s="236" t="e">
        <f t="shared" ref="AB216:AB279" si="204">AA216*vvm*anu*U216/npa</f>
        <v>#DIV/0!</v>
      </c>
      <c r="AC216" s="235">
        <f t="shared" ref="AC216:AC279" si="205">IF(B216&gt;=mec,0,V215*mdo*vvm/npm)</f>
        <v>0</v>
      </c>
      <c r="AD216" s="235">
        <f t="shared" ref="AD216:AD279" si="206">IF(B216&gt;mec,IF(B216&lt;=mec+npfd,pmtfd*nufd,0),0)</f>
        <v>0</v>
      </c>
      <c r="AE216" s="279">
        <f t="shared" ref="AE216:AE279" si="207">AD216+AC216</f>
        <v>0</v>
      </c>
      <c r="AF216" s="232">
        <f t="shared" ref="AF216:AF279" si="208">IF(D216=6,1,IF(D216=12,1,0))</f>
        <v>0</v>
      </c>
      <c r="AG216" s="235">
        <f t="shared" ref="AG216:AG279" si="209">IF($B216&gt;mlan+5,IF($B216&lt;=mco,$AG215+$AF216,0),0)</f>
        <v>0</v>
      </c>
      <c r="AH216" s="269">
        <f t="shared" ref="AH216:AH279" si="210">IF(B216&gt;=mlan+5,IF(B216&lt;=mco,V216*vvm*sem*AF216/npse,0),0)</f>
        <v>0</v>
      </c>
      <c r="AI216" s="232">
        <f t="shared" ref="AI216:AI279" si="211">IF(D216=12,1,0)</f>
        <v>0</v>
      </c>
      <c r="AJ216" s="235">
        <f t="shared" ref="AJ216:AJ279" si="212">IF(B215&gt;=mlan+5,IF(B215&lt;mco,AJ215+AI216,0),0)</f>
        <v>0</v>
      </c>
      <c r="AK216" s="269">
        <f t="shared" ref="AK216:AK279" si="213">IF(B216&lt;=mco,IF(B216&gt;=mlan+5,V216*vvm*anu/npa*AI216,0),0)</f>
        <v>0</v>
      </c>
      <c r="AL216" s="269">
        <f t="shared" si="179"/>
        <v>0</v>
      </c>
      <c r="AM216" s="281" t="e">
        <f>IF(B216&gt;=mpfo,pos*vvm*Dados!$E$122*(ntudv-SUM(U217:$U$301))-SUM($AM$13:AM215),0)</f>
        <v>#DIV/0!</v>
      </c>
      <c r="AN216" s="269" t="e">
        <f t="shared" ref="AN216:AN279" si="214">AL216+AK216+AH216+AE216+W216+AM216</f>
        <v>#DIV/0!</v>
      </c>
      <c r="AO216" s="232" t="e">
        <f t="shared" ref="AO216:AO279" si="215">AN216+T216</f>
        <v>#DIV/0!</v>
      </c>
      <c r="AP216" s="242" t="e">
        <f t="shared" ref="AP216:AP279" si="216">AP215+AO216</f>
        <v>#DIV/0!</v>
      </c>
      <c r="AQ216" s="235" t="e">
        <f>IF(AP216+SUM($AQ$12:AQ215)&gt;=0,0,-AP216-SUM($AQ$12:AQ215))</f>
        <v>#DIV/0!</v>
      </c>
      <c r="AR216" s="235">
        <f>IF(SUM($N$13:N215)&gt;=pmo,IF(SUM(N215:$N$501)&gt;(1-pmo),B216,0),0)</f>
        <v>0</v>
      </c>
      <c r="AS216" s="235" t="e">
        <f>IF((SUM($U$13:$U215)/ntudv)&gt;=pmv,IF((SUM($U215:$U$501)/ntudv)&gt;(1-pmv),B216,0),0)</f>
        <v>#DIV/0!</v>
      </c>
      <c r="AT216" s="237" t="e">
        <f>IF(MAX(mmo,mmv)=mmo,IF(B216=AR216,(SUM(N$13:$N215)-pmo)/((1-VLOOKUP(MAX(mmo,mmv)-1,$B$13:$O$501,14))+(VLOOKUP(MAX(mmo,mmv)-1,$B$13:$O$501,14)-pmo)),N215/((1-VLOOKUP(MAX(mmo,mmv)-1,$B$13:$O$501,14)+(VLOOKUP(MAX(mmo,mmv)-1,$B$13:$O$501,14)-pmo)))),N215/(1-VLOOKUP(MAX(mmo,mmv)-2,$B$13:$O$501,14)))</f>
        <v>#DIV/0!</v>
      </c>
      <c r="AU216" s="101" t="e">
        <f t="shared" si="180"/>
        <v>#DIV/0!</v>
      </c>
      <c r="AV216" s="287" t="e">
        <f t="shared" si="181"/>
        <v>#DIV/0!</v>
      </c>
      <c r="AW216" s="235" t="e">
        <f t="shared" ref="AW216:AW279" si="217">AV216+AZ215*(1+jfo)</f>
        <v>#DIV/0!</v>
      </c>
      <c r="AX216" s="281">
        <f>IF(B216&gt;mpfo,0,IF(B216=mpfo,(vld-teo*(1+tcfo-incc)^(MAX(mmo,mmv)-mbfo))*-1,IF(SUM($N$13:N215)&gt;=pmo,IF(($V215/ntudv)&gt;=pmv,IF(B216=MAX(mmo,mmv),-teo*(1+tcfo-incc)^(B216-mbfo),0),0),0)))</f>
        <v>0</v>
      </c>
      <c r="AY216" s="292" t="e">
        <f t="shared" si="182"/>
        <v>#DIV/0!</v>
      </c>
      <c r="AZ216" s="235" t="e">
        <f t="shared" ref="AZ216:AZ279" si="218">AW216+AX216+AY216</f>
        <v>#DIV/0!</v>
      </c>
      <c r="BA216" s="269" t="e">
        <f t="shared" ref="BA216:BA279" si="219">AO216+AV216+AX216+AY216</f>
        <v>#DIV/0!</v>
      </c>
      <c r="BB216" s="292" t="e">
        <f t="shared" ref="BB216:BB279" si="220">BB215+BA216</f>
        <v>#DIV/0!</v>
      </c>
      <c r="BC216" s="238" t="e">
        <f>IF(SUM($BC$13:BC215)&gt;0,0,IF(BB216&gt;0,B216,0))</f>
        <v>#DIV/0!</v>
      </c>
      <c r="BD216" s="292" t="e">
        <f>IF(BB216+SUM($BD$12:BD215)&gt;=0,0,-BB216-SUM($BD$12:BD215))</f>
        <v>#DIV/0!</v>
      </c>
      <c r="BE216" s="235" t="e">
        <f>BB216+SUM($BD$12:BD216)</f>
        <v>#DIV/0!</v>
      </c>
      <c r="BF216" s="292" t="e">
        <f>-MIN(BE216:$BE$501)-SUM(BF$12:$BF215)</f>
        <v>#DIV/0!</v>
      </c>
      <c r="BG216" s="235" t="e">
        <f t="shared" si="185"/>
        <v>#DIV/0!</v>
      </c>
    </row>
    <row r="217" spans="2:59">
      <c r="B217" s="120">
        <v>204</v>
      </c>
      <c r="C217" s="241">
        <f t="shared" si="184"/>
        <v>48888</v>
      </c>
      <c r="D217" s="229">
        <f t="shared" si="186"/>
        <v>11</v>
      </c>
      <c r="E217" s="230" t="str">
        <f t="shared" si="187"/>
        <v>-</v>
      </c>
      <c r="F217" s="231">
        <f t="shared" si="188"/>
        <v>0</v>
      </c>
      <c r="G217" s="231">
        <f t="shared" si="189"/>
        <v>0</v>
      </c>
      <c r="H217" s="231">
        <f t="shared" si="190"/>
        <v>0</v>
      </c>
      <c r="I217" s="268">
        <f t="shared" si="175"/>
        <v>0</v>
      </c>
      <c r="J217" s="269">
        <f t="shared" si="191"/>
        <v>0</v>
      </c>
      <c r="K217" s="269">
        <f t="shared" si="192"/>
        <v>0</v>
      </c>
      <c r="L217" s="269">
        <f t="shared" si="176"/>
        <v>0</v>
      </c>
      <c r="M217" s="269">
        <f t="shared" si="177"/>
        <v>0</v>
      </c>
      <c r="N217" s="233">
        <f>VLOOKUP(B217,Dados!$L$86:$P$90,5)</f>
        <v>0</v>
      </c>
      <c r="O217" s="270">
        <f t="shared" si="193"/>
        <v>0.99999999999999989</v>
      </c>
      <c r="P217" s="269">
        <f t="shared" si="194"/>
        <v>0</v>
      </c>
      <c r="Q217" s="269" t="e">
        <f t="shared" si="195"/>
        <v>#DIV/0!</v>
      </c>
      <c r="R217" s="269">
        <f t="shared" si="196"/>
        <v>0</v>
      </c>
      <c r="S217" s="269" t="e">
        <f t="shared" si="197"/>
        <v>#DIV/0!</v>
      </c>
      <c r="T217" s="269" t="e">
        <f t="shared" si="183"/>
        <v>#DIV/0!</v>
      </c>
      <c r="U217" s="234">
        <f t="shared" si="198"/>
        <v>0</v>
      </c>
      <c r="V217" s="232" t="e">
        <f t="shared" si="199"/>
        <v>#DIV/0!</v>
      </c>
      <c r="W217" s="269" t="e">
        <f t="shared" si="200"/>
        <v>#DIV/0!</v>
      </c>
      <c r="X217" s="235">
        <f t="shared" si="178"/>
        <v>0</v>
      </c>
      <c r="Y217" s="236">
        <f t="shared" si="201"/>
        <v>5</v>
      </c>
      <c r="Z217" s="236" t="e">
        <f t="shared" si="202"/>
        <v>#DIV/0!</v>
      </c>
      <c r="AA217" s="236">
        <f t="shared" si="203"/>
        <v>3</v>
      </c>
      <c r="AB217" s="236" t="e">
        <f t="shared" si="204"/>
        <v>#DIV/0!</v>
      </c>
      <c r="AC217" s="235">
        <f t="shared" si="205"/>
        <v>0</v>
      </c>
      <c r="AD217" s="235">
        <f t="shared" si="206"/>
        <v>0</v>
      </c>
      <c r="AE217" s="279">
        <f t="shared" si="207"/>
        <v>0</v>
      </c>
      <c r="AF217" s="232">
        <f t="shared" si="208"/>
        <v>0</v>
      </c>
      <c r="AG217" s="235">
        <f t="shared" si="209"/>
        <v>0</v>
      </c>
      <c r="AH217" s="269">
        <f t="shared" si="210"/>
        <v>0</v>
      </c>
      <c r="AI217" s="232">
        <f t="shared" si="211"/>
        <v>0</v>
      </c>
      <c r="AJ217" s="235">
        <f t="shared" si="212"/>
        <v>0</v>
      </c>
      <c r="AK217" s="269">
        <f t="shared" si="213"/>
        <v>0</v>
      </c>
      <c r="AL217" s="269">
        <f t="shared" si="179"/>
        <v>0</v>
      </c>
      <c r="AM217" s="281" t="e">
        <f>IF(B217&gt;=mpfo,pos*vvm*Dados!$E$122*(ntudv-SUM(U218:$U$301))-SUM($AM$13:AM216),0)</f>
        <v>#DIV/0!</v>
      </c>
      <c r="AN217" s="269" t="e">
        <f t="shared" si="214"/>
        <v>#DIV/0!</v>
      </c>
      <c r="AO217" s="232" t="e">
        <f t="shared" si="215"/>
        <v>#DIV/0!</v>
      </c>
      <c r="AP217" s="242" t="e">
        <f t="shared" si="216"/>
        <v>#DIV/0!</v>
      </c>
      <c r="AQ217" s="235" t="e">
        <f>IF(AP217+SUM($AQ$12:AQ216)&gt;=0,0,-AP217-SUM($AQ$12:AQ216))</f>
        <v>#DIV/0!</v>
      </c>
      <c r="AR217" s="235">
        <f>IF(SUM($N$13:N216)&gt;=pmo,IF(SUM(N216:$N$501)&gt;(1-pmo),B217,0),0)</f>
        <v>0</v>
      </c>
      <c r="AS217" s="235" t="e">
        <f>IF((SUM($U$13:$U216)/ntudv)&gt;=pmv,IF((SUM($U216:$U$501)/ntudv)&gt;(1-pmv),B217,0),0)</f>
        <v>#DIV/0!</v>
      </c>
      <c r="AT217" s="237" t="e">
        <f>IF(MAX(mmo,mmv)=mmo,IF(B217=AR217,(SUM(N$13:$N216)-pmo)/((1-VLOOKUP(MAX(mmo,mmv)-1,$B$13:$O$501,14))+(VLOOKUP(MAX(mmo,mmv)-1,$B$13:$O$501,14)-pmo)),N216/((1-VLOOKUP(MAX(mmo,mmv)-1,$B$13:$O$501,14)+(VLOOKUP(MAX(mmo,mmv)-1,$B$13:$O$501,14)-pmo)))),N216/(1-VLOOKUP(MAX(mmo,mmv)-2,$B$13:$O$501,14)))</f>
        <v>#DIV/0!</v>
      </c>
      <c r="AU217" s="101" t="e">
        <f t="shared" si="180"/>
        <v>#DIV/0!</v>
      </c>
      <c r="AV217" s="287" t="e">
        <f t="shared" si="181"/>
        <v>#DIV/0!</v>
      </c>
      <c r="AW217" s="235" t="e">
        <f t="shared" si="217"/>
        <v>#DIV/0!</v>
      </c>
      <c r="AX217" s="281">
        <f>IF(B217&gt;mpfo,0,IF(B217=mpfo,(vld-teo*(1+tcfo-incc)^(MAX(mmo,mmv)-mbfo))*-1,IF(SUM($N$13:N216)&gt;=pmo,IF(($V216/ntudv)&gt;=pmv,IF(B217=MAX(mmo,mmv),-teo*(1+tcfo-incc)^(B217-mbfo),0),0),0)))</f>
        <v>0</v>
      </c>
      <c r="AY217" s="292" t="e">
        <f t="shared" si="182"/>
        <v>#DIV/0!</v>
      </c>
      <c r="AZ217" s="235" t="e">
        <f t="shared" si="218"/>
        <v>#DIV/0!</v>
      </c>
      <c r="BA217" s="269" t="e">
        <f t="shared" si="219"/>
        <v>#DIV/0!</v>
      </c>
      <c r="BB217" s="292" t="e">
        <f t="shared" si="220"/>
        <v>#DIV/0!</v>
      </c>
      <c r="BC217" s="238" t="e">
        <f>IF(SUM($BC$13:BC216)&gt;0,0,IF(BB217&gt;0,B217,0))</f>
        <v>#DIV/0!</v>
      </c>
      <c r="BD217" s="292" t="e">
        <f>IF(BB217+SUM($BD$12:BD216)&gt;=0,0,-BB217-SUM($BD$12:BD216))</f>
        <v>#DIV/0!</v>
      </c>
      <c r="BE217" s="235" t="e">
        <f>BB217+SUM($BD$12:BD217)</f>
        <v>#DIV/0!</v>
      </c>
      <c r="BF217" s="292" t="e">
        <f>-MIN(BE217:$BE$501)-SUM(BF$12:$BF216)</f>
        <v>#DIV/0!</v>
      </c>
      <c r="BG217" s="235" t="e">
        <f t="shared" si="185"/>
        <v>#DIV/0!</v>
      </c>
    </row>
    <row r="218" spans="2:59">
      <c r="B218" s="246">
        <v>205</v>
      </c>
      <c r="C218" s="241">
        <f t="shared" si="184"/>
        <v>48918</v>
      </c>
      <c r="D218" s="229">
        <f t="shared" si="186"/>
        <v>12</v>
      </c>
      <c r="E218" s="230" t="str">
        <f t="shared" si="187"/>
        <v>-</v>
      </c>
      <c r="F218" s="231">
        <f t="shared" si="188"/>
        <v>0</v>
      </c>
      <c r="G218" s="231">
        <f t="shared" si="189"/>
        <v>0</v>
      </c>
      <c r="H218" s="231">
        <f t="shared" si="190"/>
        <v>0</v>
      </c>
      <c r="I218" s="268">
        <f t="shared" si="175"/>
        <v>0</v>
      </c>
      <c r="J218" s="269">
        <f t="shared" si="191"/>
        <v>0</v>
      </c>
      <c r="K218" s="269">
        <f t="shared" si="192"/>
        <v>0</v>
      </c>
      <c r="L218" s="269">
        <f t="shared" si="176"/>
        <v>0</v>
      </c>
      <c r="M218" s="269">
        <f t="shared" si="177"/>
        <v>0</v>
      </c>
      <c r="N218" s="233">
        <f>VLOOKUP(B218,Dados!$L$86:$P$90,5)</f>
        <v>0</v>
      </c>
      <c r="O218" s="270">
        <f t="shared" si="193"/>
        <v>0.99999999999999989</v>
      </c>
      <c r="P218" s="269">
        <f t="shared" si="194"/>
        <v>0</v>
      </c>
      <c r="Q218" s="269" t="e">
        <f t="shared" si="195"/>
        <v>#DIV/0!</v>
      </c>
      <c r="R218" s="269">
        <f t="shared" si="196"/>
        <v>0</v>
      </c>
      <c r="S218" s="269" t="e">
        <f t="shared" si="197"/>
        <v>#DIV/0!</v>
      </c>
      <c r="T218" s="269" t="e">
        <f t="shared" si="183"/>
        <v>#DIV/0!</v>
      </c>
      <c r="U218" s="234">
        <f t="shared" si="198"/>
        <v>0</v>
      </c>
      <c r="V218" s="232" t="e">
        <f t="shared" si="199"/>
        <v>#DIV/0!</v>
      </c>
      <c r="W218" s="269" t="e">
        <f t="shared" si="200"/>
        <v>#DIV/0!</v>
      </c>
      <c r="X218" s="235">
        <f t="shared" si="178"/>
        <v>0</v>
      </c>
      <c r="Y218" s="236">
        <f t="shared" si="201"/>
        <v>5</v>
      </c>
      <c r="Z218" s="236" t="e">
        <f t="shared" si="202"/>
        <v>#DIV/0!</v>
      </c>
      <c r="AA218" s="236">
        <f t="shared" si="203"/>
        <v>3</v>
      </c>
      <c r="AB218" s="236" t="e">
        <f t="shared" si="204"/>
        <v>#DIV/0!</v>
      </c>
      <c r="AC218" s="235">
        <f t="shared" si="205"/>
        <v>0</v>
      </c>
      <c r="AD218" s="235">
        <f t="shared" si="206"/>
        <v>0</v>
      </c>
      <c r="AE218" s="279">
        <f t="shared" si="207"/>
        <v>0</v>
      </c>
      <c r="AF218" s="232">
        <f t="shared" si="208"/>
        <v>1</v>
      </c>
      <c r="AG218" s="235">
        <f t="shared" si="209"/>
        <v>0</v>
      </c>
      <c r="AH218" s="269">
        <f t="shared" si="210"/>
        <v>0</v>
      </c>
      <c r="AI218" s="232">
        <f t="shared" si="211"/>
        <v>1</v>
      </c>
      <c r="AJ218" s="235">
        <f t="shared" si="212"/>
        <v>0</v>
      </c>
      <c r="AK218" s="269">
        <f t="shared" si="213"/>
        <v>0</v>
      </c>
      <c r="AL218" s="269">
        <f t="shared" si="179"/>
        <v>0</v>
      </c>
      <c r="AM218" s="281" t="e">
        <f>IF(B218&gt;=mpfo,pos*vvm*Dados!$E$122*(ntudv-SUM(U219:$U$301))-SUM($AM$13:AM217),0)</f>
        <v>#DIV/0!</v>
      </c>
      <c r="AN218" s="269" t="e">
        <f t="shared" si="214"/>
        <v>#DIV/0!</v>
      </c>
      <c r="AO218" s="232" t="e">
        <f t="shared" si="215"/>
        <v>#DIV/0!</v>
      </c>
      <c r="AP218" s="242" t="e">
        <f t="shared" si="216"/>
        <v>#DIV/0!</v>
      </c>
      <c r="AQ218" s="235" t="e">
        <f>IF(AP218+SUM($AQ$12:AQ217)&gt;=0,0,-AP218-SUM($AQ$12:AQ217))</f>
        <v>#DIV/0!</v>
      </c>
      <c r="AR218" s="235">
        <f>IF(SUM($N$13:N217)&gt;=pmo,IF(SUM(N217:$N$501)&gt;(1-pmo),B218,0),0)</f>
        <v>0</v>
      </c>
      <c r="AS218" s="235" t="e">
        <f>IF((SUM($U$13:$U217)/ntudv)&gt;=pmv,IF((SUM($U217:$U$501)/ntudv)&gt;(1-pmv),B218,0),0)</f>
        <v>#DIV/0!</v>
      </c>
      <c r="AT218" s="237" t="e">
        <f>IF(MAX(mmo,mmv)=mmo,IF(B218=AR218,(SUM(N$13:$N217)-pmo)/((1-VLOOKUP(MAX(mmo,mmv)-1,$B$13:$O$501,14))+(VLOOKUP(MAX(mmo,mmv)-1,$B$13:$O$501,14)-pmo)),N217/((1-VLOOKUP(MAX(mmo,mmv)-1,$B$13:$O$501,14)+(VLOOKUP(MAX(mmo,mmv)-1,$B$13:$O$501,14)-pmo)))),N217/(1-VLOOKUP(MAX(mmo,mmv)-2,$B$13:$O$501,14)))</f>
        <v>#DIV/0!</v>
      </c>
      <c r="AU218" s="101" t="e">
        <f t="shared" si="180"/>
        <v>#DIV/0!</v>
      </c>
      <c r="AV218" s="287" t="e">
        <f t="shared" si="181"/>
        <v>#DIV/0!</v>
      </c>
      <c r="AW218" s="235" t="e">
        <f t="shared" si="217"/>
        <v>#DIV/0!</v>
      </c>
      <c r="AX218" s="281">
        <f>IF(B218&gt;mpfo,0,IF(B218=mpfo,(vld-teo*(1+tcfo-incc)^(MAX(mmo,mmv)-mbfo))*-1,IF(SUM($N$13:N217)&gt;=pmo,IF(($V217/ntudv)&gt;=pmv,IF(B218=MAX(mmo,mmv),-teo*(1+tcfo-incc)^(B218-mbfo),0),0),0)))</f>
        <v>0</v>
      </c>
      <c r="AY218" s="292" t="e">
        <f t="shared" si="182"/>
        <v>#DIV/0!</v>
      </c>
      <c r="AZ218" s="235" t="e">
        <f t="shared" si="218"/>
        <v>#DIV/0!</v>
      </c>
      <c r="BA218" s="269" t="e">
        <f t="shared" si="219"/>
        <v>#DIV/0!</v>
      </c>
      <c r="BB218" s="292" t="e">
        <f t="shared" si="220"/>
        <v>#DIV/0!</v>
      </c>
      <c r="BC218" s="238" t="e">
        <f>IF(SUM($BC$13:BC217)&gt;0,0,IF(BB218&gt;0,B218,0))</f>
        <v>#DIV/0!</v>
      </c>
      <c r="BD218" s="292" t="e">
        <f>IF(BB218+SUM($BD$12:BD217)&gt;=0,0,-BB218-SUM($BD$12:BD217))</f>
        <v>#DIV/0!</v>
      </c>
      <c r="BE218" s="235" t="e">
        <f>BB218+SUM($BD$12:BD218)</f>
        <v>#DIV/0!</v>
      </c>
      <c r="BF218" s="292" t="e">
        <f>-MIN(BE218:$BE$501)-SUM(BF$12:$BF217)</f>
        <v>#DIV/0!</v>
      </c>
      <c r="BG218" s="235" t="e">
        <f t="shared" si="185"/>
        <v>#DIV/0!</v>
      </c>
    </row>
    <row r="219" spans="2:59">
      <c r="B219" s="120">
        <v>206</v>
      </c>
      <c r="C219" s="241">
        <f t="shared" si="184"/>
        <v>48949</v>
      </c>
      <c r="D219" s="229">
        <f t="shared" si="186"/>
        <v>1</v>
      </c>
      <c r="E219" s="230" t="str">
        <f t="shared" si="187"/>
        <v>-</v>
      </c>
      <c r="F219" s="231">
        <f t="shared" si="188"/>
        <v>0</v>
      </c>
      <c r="G219" s="231">
        <f t="shared" si="189"/>
        <v>0</v>
      </c>
      <c r="H219" s="231">
        <f t="shared" si="190"/>
        <v>0</v>
      </c>
      <c r="I219" s="268">
        <f t="shared" si="175"/>
        <v>0</v>
      </c>
      <c r="J219" s="269">
        <f t="shared" si="191"/>
        <v>0</v>
      </c>
      <c r="K219" s="269">
        <f t="shared" si="192"/>
        <v>0</v>
      </c>
      <c r="L219" s="269">
        <f t="shared" si="176"/>
        <v>0</v>
      </c>
      <c r="M219" s="269">
        <f t="shared" si="177"/>
        <v>0</v>
      </c>
      <c r="N219" s="233">
        <f>VLOOKUP(B219,Dados!$L$86:$P$90,5)</f>
        <v>0</v>
      </c>
      <c r="O219" s="270">
        <f t="shared" si="193"/>
        <v>0.99999999999999989</v>
      </c>
      <c r="P219" s="269">
        <f t="shared" si="194"/>
        <v>0</v>
      </c>
      <c r="Q219" s="269" t="e">
        <f t="shared" si="195"/>
        <v>#DIV/0!</v>
      </c>
      <c r="R219" s="269">
        <f t="shared" si="196"/>
        <v>0</v>
      </c>
      <c r="S219" s="269" t="e">
        <f t="shared" si="197"/>
        <v>#DIV/0!</v>
      </c>
      <c r="T219" s="269" t="e">
        <f t="shared" si="183"/>
        <v>#DIV/0!</v>
      </c>
      <c r="U219" s="234">
        <f t="shared" si="198"/>
        <v>0</v>
      </c>
      <c r="V219" s="232" t="e">
        <f t="shared" si="199"/>
        <v>#DIV/0!</v>
      </c>
      <c r="W219" s="269" t="e">
        <f t="shared" si="200"/>
        <v>#DIV/0!</v>
      </c>
      <c r="X219" s="235">
        <f t="shared" si="178"/>
        <v>0</v>
      </c>
      <c r="Y219" s="236">
        <f t="shared" si="201"/>
        <v>5</v>
      </c>
      <c r="Z219" s="236" t="e">
        <f t="shared" si="202"/>
        <v>#DIV/0!</v>
      </c>
      <c r="AA219" s="236">
        <f t="shared" si="203"/>
        <v>3</v>
      </c>
      <c r="AB219" s="236" t="e">
        <f t="shared" si="204"/>
        <v>#DIV/0!</v>
      </c>
      <c r="AC219" s="235">
        <f t="shared" si="205"/>
        <v>0</v>
      </c>
      <c r="AD219" s="235">
        <f t="shared" si="206"/>
        <v>0</v>
      </c>
      <c r="AE219" s="279">
        <f t="shared" si="207"/>
        <v>0</v>
      </c>
      <c r="AF219" s="232">
        <f t="shared" si="208"/>
        <v>0</v>
      </c>
      <c r="AG219" s="235">
        <f t="shared" si="209"/>
        <v>0</v>
      </c>
      <c r="AH219" s="269">
        <f t="shared" si="210"/>
        <v>0</v>
      </c>
      <c r="AI219" s="232">
        <f t="shared" si="211"/>
        <v>0</v>
      </c>
      <c r="AJ219" s="235">
        <f t="shared" si="212"/>
        <v>0</v>
      </c>
      <c r="AK219" s="269">
        <f t="shared" si="213"/>
        <v>0</v>
      </c>
      <c r="AL219" s="269">
        <f t="shared" si="179"/>
        <v>0</v>
      </c>
      <c r="AM219" s="281" t="e">
        <f>IF(B219&gt;=mpfo,pos*vvm*Dados!$E$122*(ntudv-SUM(U220:$U$301))-SUM($AM$13:AM218),0)</f>
        <v>#DIV/0!</v>
      </c>
      <c r="AN219" s="269" t="e">
        <f t="shared" si="214"/>
        <v>#DIV/0!</v>
      </c>
      <c r="AO219" s="232" t="e">
        <f t="shared" si="215"/>
        <v>#DIV/0!</v>
      </c>
      <c r="AP219" s="242" t="e">
        <f t="shared" si="216"/>
        <v>#DIV/0!</v>
      </c>
      <c r="AQ219" s="235" t="e">
        <f>IF(AP219+SUM($AQ$12:AQ218)&gt;=0,0,-AP219-SUM($AQ$12:AQ218))</f>
        <v>#DIV/0!</v>
      </c>
      <c r="AR219" s="235">
        <f>IF(SUM($N$13:N218)&gt;=pmo,IF(SUM(N218:$N$501)&gt;(1-pmo),B219,0),0)</f>
        <v>0</v>
      </c>
      <c r="AS219" s="235" t="e">
        <f>IF((SUM($U$13:$U218)/ntudv)&gt;=pmv,IF((SUM($U218:$U$501)/ntudv)&gt;(1-pmv),B219,0),0)</f>
        <v>#DIV/0!</v>
      </c>
      <c r="AT219" s="237" t="e">
        <f>IF(MAX(mmo,mmv)=mmo,IF(B219=AR219,(SUM(N$13:$N218)-pmo)/((1-VLOOKUP(MAX(mmo,mmv)-1,$B$13:$O$501,14))+(VLOOKUP(MAX(mmo,mmv)-1,$B$13:$O$501,14)-pmo)),N218/((1-VLOOKUP(MAX(mmo,mmv)-1,$B$13:$O$501,14)+(VLOOKUP(MAX(mmo,mmv)-1,$B$13:$O$501,14)-pmo)))),N218/(1-VLOOKUP(MAX(mmo,mmv)-2,$B$13:$O$501,14)))</f>
        <v>#DIV/0!</v>
      </c>
      <c r="AU219" s="101" t="e">
        <f t="shared" si="180"/>
        <v>#DIV/0!</v>
      </c>
      <c r="AV219" s="287" t="e">
        <f t="shared" si="181"/>
        <v>#DIV/0!</v>
      </c>
      <c r="AW219" s="235" t="e">
        <f t="shared" si="217"/>
        <v>#DIV/0!</v>
      </c>
      <c r="AX219" s="281">
        <f>IF(B219&gt;mpfo,0,IF(B219=mpfo,(vld-teo*(1+tcfo-incc)^(MAX(mmo,mmv)-mbfo))*-1,IF(SUM($N$13:N218)&gt;=pmo,IF(($V218/ntudv)&gt;=pmv,IF(B219=MAX(mmo,mmv),-teo*(1+tcfo-incc)^(B219-mbfo),0),0),0)))</f>
        <v>0</v>
      </c>
      <c r="AY219" s="292" t="e">
        <f t="shared" si="182"/>
        <v>#DIV/0!</v>
      </c>
      <c r="AZ219" s="235" t="e">
        <f t="shared" si="218"/>
        <v>#DIV/0!</v>
      </c>
      <c r="BA219" s="269" t="e">
        <f t="shared" si="219"/>
        <v>#DIV/0!</v>
      </c>
      <c r="BB219" s="292" t="e">
        <f t="shared" si="220"/>
        <v>#DIV/0!</v>
      </c>
      <c r="BC219" s="238" t="e">
        <f>IF(SUM($BC$13:BC218)&gt;0,0,IF(BB219&gt;0,B219,0))</f>
        <v>#DIV/0!</v>
      </c>
      <c r="BD219" s="292" t="e">
        <f>IF(BB219+SUM($BD$12:BD218)&gt;=0,0,-BB219-SUM($BD$12:BD218))</f>
        <v>#DIV/0!</v>
      </c>
      <c r="BE219" s="235" t="e">
        <f>BB219+SUM($BD$12:BD219)</f>
        <v>#DIV/0!</v>
      </c>
      <c r="BF219" s="292" t="e">
        <f>-MIN(BE219:$BE$501)-SUM(BF$12:$BF218)</f>
        <v>#DIV/0!</v>
      </c>
      <c r="BG219" s="235" t="e">
        <f t="shared" si="185"/>
        <v>#DIV/0!</v>
      </c>
    </row>
    <row r="220" spans="2:59">
      <c r="B220" s="246">
        <v>207</v>
      </c>
      <c r="C220" s="241">
        <f t="shared" si="184"/>
        <v>48980</v>
      </c>
      <c r="D220" s="229">
        <f t="shared" si="186"/>
        <v>2</v>
      </c>
      <c r="E220" s="230" t="str">
        <f t="shared" si="187"/>
        <v>-</v>
      </c>
      <c r="F220" s="231">
        <f t="shared" si="188"/>
        <v>0</v>
      </c>
      <c r="G220" s="231">
        <f t="shared" si="189"/>
        <v>0</v>
      </c>
      <c r="H220" s="231">
        <f t="shared" si="190"/>
        <v>0</v>
      </c>
      <c r="I220" s="268">
        <f t="shared" si="175"/>
        <v>0</v>
      </c>
      <c r="J220" s="269">
        <f t="shared" si="191"/>
        <v>0</v>
      </c>
      <c r="K220" s="269">
        <f t="shared" si="192"/>
        <v>0</v>
      </c>
      <c r="L220" s="269">
        <f t="shared" si="176"/>
        <v>0</v>
      </c>
      <c r="M220" s="269">
        <f t="shared" si="177"/>
        <v>0</v>
      </c>
      <c r="N220" s="233">
        <f>VLOOKUP(B220,Dados!$L$86:$P$90,5)</f>
        <v>0</v>
      </c>
      <c r="O220" s="270">
        <f t="shared" si="193"/>
        <v>0.99999999999999989</v>
      </c>
      <c r="P220" s="269">
        <f t="shared" si="194"/>
        <v>0</v>
      </c>
      <c r="Q220" s="269" t="e">
        <f t="shared" si="195"/>
        <v>#DIV/0!</v>
      </c>
      <c r="R220" s="269">
        <f t="shared" si="196"/>
        <v>0</v>
      </c>
      <c r="S220" s="269" t="e">
        <f t="shared" si="197"/>
        <v>#DIV/0!</v>
      </c>
      <c r="T220" s="269" t="e">
        <f t="shared" si="183"/>
        <v>#DIV/0!</v>
      </c>
      <c r="U220" s="234">
        <f t="shared" si="198"/>
        <v>0</v>
      </c>
      <c r="V220" s="232" t="e">
        <f t="shared" si="199"/>
        <v>#DIV/0!</v>
      </c>
      <c r="W220" s="269" t="e">
        <f t="shared" si="200"/>
        <v>#DIV/0!</v>
      </c>
      <c r="X220" s="235">
        <f t="shared" si="178"/>
        <v>0</v>
      </c>
      <c r="Y220" s="236">
        <f t="shared" si="201"/>
        <v>5</v>
      </c>
      <c r="Z220" s="236" t="e">
        <f t="shared" si="202"/>
        <v>#DIV/0!</v>
      </c>
      <c r="AA220" s="236">
        <f t="shared" si="203"/>
        <v>3</v>
      </c>
      <c r="AB220" s="236" t="e">
        <f t="shared" si="204"/>
        <v>#DIV/0!</v>
      </c>
      <c r="AC220" s="235">
        <f t="shared" si="205"/>
        <v>0</v>
      </c>
      <c r="AD220" s="235">
        <f t="shared" si="206"/>
        <v>0</v>
      </c>
      <c r="AE220" s="279">
        <f t="shared" si="207"/>
        <v>0</v>
      </c>
      <c r="AF220" s="232">
        <f t="shared" si="208"/>
        <v>0</v>
      </c>
      <c r="AG220" s="235">
        <f t="shared" si="209"/>
        <v>0</v>
      </c>
      <c r="AH220" s="269">
        <f t="shared" si="210"/>
        <v>0</v>
      </c>
      <c r="AI220" s="232">
        <f t="shared" si="211"/>
        <v>0</v>
      </c>
      <c r="AJ220" s="235">
        <f t="shared" si="212"/>
        <v>0</v>
      </c>
      <c r="AK220" s="269">
        <f t="shared" si="213"/>
        <v>0</v>
      </c>
      <c r="AL220" s="269">
        <f t="shared" si="179"/>
        <v>0</v>
      </c>
      <c r="AM220" s="281" t="e">
        <f>IF(B220&gt;=mpfo,pos*vvm*Dados!$E$122*(ntudv-SUM(U221:$U$301))-SUM($AM$13:AM219),0)</f>
        <v>#DIV/0!</v>
      </c>
      <c r="AN220" s="269" t="e">
        <f t="shared" si="214"/>
        <v>#DIV/0!</v>
      </c>
      <c r="AO220" s="232" t="e">
        <f t="shared" si="215"/>
        <v>#DIV/0!</v>
      </c>
      <c r="AP220" s="242" t="e">
        <f t="shared" si="216"/>
        <v>#DIV/0!</v>
      </c>
      <c r="AQ220" s="235" t="e">
        <f>IF(AP220+SUM($AQ$12:AQ219)&gt;=0,0,-AP220-SUM($AQ$12:AQ219))</f>
        <v>#DIV/0!</v>
      </c>
      <c r="AR220" s="235">
        <f>IF(SUM($N$13:N219)&gt;=pmo,IF(SUM(N219:$N$501)&gt;(1-pmo),B220,0),0)</f>
        <v>0</v>
      </c>
      <c r="AS220" s="235" t="e">
        <f>IF((SUM($U$13:$U219)/ntudv)&gt;=pmv,IF((SUM($U219:$U$501)/ntudv)&gt;(1-pmv),B220,0),0)</f>
        <v>#DIV/0!</v>
      </c>
      <c r="AT220" s="237" t="e">
        <f>IF(MAX(mmo,mmv)=mmo,IF(B220=AR220,(SUM(N$13:$N219)-pmo)/((1-VLOOKUP(MAX(mmo,mmv)-1,$B$13:$O$501,14))+(VLOOKUP(MAX(mmo,mmv)-1,$B$13:$O$501,14)-pmo)),N219/((1-VLOOKUP(MAX(mmo,mmv)-1,$B$13:$O$501,14)+(VLOOKUP(MAX(mmo,mmv)-1,$B$13:$O$501,14)-pmo)))),N219/(1-VLOOKUP(MAX(mmo,mmv)-2,$B$13:$O$501,14)))</f>
        <v>#DIV/0!</v>
      </c>
      <c r="AU220" s="101" t="e">
        <f t="shared" si="180"/>
        <v>#DIV/0!</v>
      </c>
      <c r="AV220" s="287" t="e">
        <f t="shared" si="181"/>
        <v>#DIV/0!</v>
      </c>
      <c r="AW220" s="235" t="e">
        <f t="shared" si="217"/>
        <v>#DIV/0!</v>
      </c>
      <c r="AX220" s="281">
        <f>IF(B220&gt;mpfo,0,IF(B220=mpfo,(vld-teo*(1+tcfo-incc)^(MAX(mmo,mmv)-mbfo))*-1,IF(SUM($N$13:N219)&gt;=pmo,IF(($V219/ntudv)&gt;=pmv,IF(B220=MAX(mmo,mmv),-teo*(1+tcfo-incc)^(B220-mbfo),0),0),0)))</f>
        <v>0</v>
      </c>
      <c r="AY220" s="292" t="e">
        <f t="shared" si="182"/>
        <v>#DIV/0!</v>
      </c>
      <c r="AZ220" s="235" t="e">
        <f t="shared" si="218"/>
        <v>#DIV/0!</v>
      </c>
      <c r="BA220" s="269" t="e">
        <f t="shared" si="219"/>
        <v>#DIV/0!</v>
      </c>
      <c r="BB220" s="292" t="e">
        <f t="shared" si="220"/>
        <v>#DIV/0!</v>
      </c>
      <c r="BC220" s="238" t="e">
        <f>IF(SUM($BC$13:BC219)&gt;0,0,IF(BB220&gt;0,B220,0))</f>
        <v>#DIV/0!</v>
      </c>
      <c r="BD220" s="292" t="e">
        <f>IF(BB220+SUM($BD$12:BD219)&gt;=0,0,-BB220-SUM($BD$12:BD219))</f>
        <v>#DIV/0!</v>
      </c>
      <c r="BE220" s="235" t="e">
        <f>BB220+SUM($BD$12:BD220)</f>
        <v>#DIV/0!</v>
      </c>
      <c r="BF220" s="292" t="e">
        <f>-MIN(BE220:$BE$501)-SUM(BF$12:$BF219)</f>
        <v>#DIV/0!</v>
      </c>
      <c r="BG220" s="235" t="e">
        <f t="shared" si="185"/>
        <v>#DIV/0!</v>
      </c>
    </row>
    <row r="221" spans="2:59">
      <c r="B221" s="120">
        <v>208</v>
      </c>
      <c r="C221" s="241">
        <f t="shared" si="184"/>
        <v>49008</v>
      </c>
      <c r="D221" s="229">
        <f t="shared" si="186"/>
        <v>3</v>
      </c>
      <c r="E221" s="230" t="str">
        <f t="shared" si="187"/>
        <v>-</v>
      </c>
      <c r="F221" s="231">
        <f t="shared" si="188"/>
        <v>0</v>
      </c>
      <c r="G221" s="231">
        <f t="shared" si="189"/>
        <v>0</v>
      </c>
      <c r="H221" s="231">
        <f t="shared" si="190"/>
        <v>0</v>
      </c>
      <c r="I221" s="268">
        <f t="shared" si="175"/>
        <v>0</v>
      </c>
      <c r="J221" s="269">
        <f t="shared" si="191"/>
        <v>0</v>
      </c>
      <c r="K221" s="269">
        <f t="shared" si="192"/>
        <v>0</v>
      </c>
      <c r="L221" s="269">
        <f t="shared" si="176"/>
        <v>0</v>
      </c>
      <c r="M221" s="269">
        <f t="shared" si="177"/>
        <v>0</v>
      </c>
      <c r="N221" s="233">
        <f>VLOOKUP(B221,Dados!$L$86:$P$90,5)</f>
        <v>0</v>
      </c>
      <c r="O221" s="270">
        <f t="shared" si="193"/>
        <v>0.99999999999999989</v>
      </c>
      <c r="P221" s="269">
        <f t="shared" si="194"/>
        <v>0</v>
      </c>
      <c r="Q221" s="269" t="e">
        <f t="shared" si="195"/>
        <v>#DIV/0!</v>
      </c>
      <c r="R221" s="269">
        <f t="shared" si="196"/>
        <v>0</v>
      </c>
      <c r="S221" s="269" t="e">
        <f t="shared" si="197"/>
        <v>#DIV/0!</v>
      </c>
      <c r="T221" s="269" t="e">
        <f t="shared" si="183"/>
        <v>#DIV/0!</v>
      </c>
      <c r="U221" s="234">
        <f t="shared" si="198"/>
        <v>0</v>
      </c>
      <c r="V221" s="232" t="e">
        <f t="shared" si="199"/>
        <v>#DIV/0!</v>
      </c>
      <c r="W221" s="269" t="e">
        <f t="shared" si="200"/>
        <v>#DIV/0!</v>
      </c>
      <c r="X221" s="235">
        <f t="shared" si="178"/>
        <v>0</v>
      </c>
      <c r="Y221" s="236">
        <f t="shared" si="201"/>
        <v>5</v>
      </c>
      <c r="Z221" s="236" t="e">
        <f t="shared" si="202"/>
        <v>#DIV/0!</v>
      </c>
      <c r="AA221" s="236">
        <f t="shared" si="203"/>
        <v>3</v>
      </c>
      <c r="AB221" s="236" t="e">
        <f t="shared" si="204"/>
        <v>#DIV/0!</v>
      </c>
      <c r="AC221" s="235">
        <f t="shared" si="205"/>
        <v>0</v>
      </c>
      <c r="AD221" s="235">
        <f t="shared" si="206"/>
        <v>0</v>
      </c>
      <c r="AE221" s="279">
        <f t="shared" si="207"/>
        <v>0</v>
      </c>
      <c r="AF221" s="232">
        <f t="shared" si="208"/>
        <v>0</v>
      </c>
      <c r="AG221" s="235">
        <f t="shared" si="209"/>
        <v>0</v>
      </c>
      <c r="AH221" s="269">
        <f t="shared" si="210"/>
        <v>0</v>
      </c>
      <c r="AI221" s="232">
        <f t="shared" si="211"/>
        <v>0</v>
      </c>
      <c r="AJ221" s="235">
        <f t="shared" si="212"/>
        <v>0</v>
      </c>
      <c r="AK221" s="269">
        <f t="shared" si="213"/>
        <v>0</v>
      </c>
      <c r="AL221" s="269">
        <f t="shared" si="179"/>
        <v>0</v>
      </c>
      <c r="AM221" s="281" t="e">
        <f>IF(B221&gt;=mpfo,pos*vvm*Dados!$E$122*(ntudv-SUM(U222:$U$301))-SUM($AM$13:AM220),0)</f>
        <v>#DIV/0!</v>
      </c>
      <c r="AN221" s="269" t="e">
        <f t="shared" si="214"/>
        <v>#DIV/0!</v>
      </c>
      <c r="AO221" s="232" t="e">
        <f t="shared" si="215"/>
        <v>#DIV/0!</v>
      </c>
      <c r="AP221" s="242" t="e">
        <f t="shared" si="216"/>
        <v>#DIV/0!</v>
      </c>
      <c r="AQ221" s="235" t="e">
        <f>IF(AP221+SUM($AQ$12:AQ220)&gt;=0,0,-AP221-SUM($AQ$12:AQ220))</f>
        <v>#DIV/0!</v>
      </c>
      <c r="AR221" s="235">
        <f>IF(SUM($N$13:N220)&gt;=pmo,IF(SUM(N220:$N$501)&gt;(1-pmo),B221,0),0)</f>
        <v>0</v>
      </c>
      <c r="AS221" s="235" t="e">
        <f>IF((SUM($U$13:$U220)/ntudv)&gt;=pmv,IF((SUM($U220:$U$501)/ntudv)&gt;(1-pmv),B221,0),0)</f>
        <v>#DIV/0!</v>
      </c>
      <c r="AT221" s="237" t="e">
        <f>IF(MAX(mmo,mmv)=mmo,IF(B221=AR221,(SUM(N$13:$N220)-pmo)/((1-VLOOKUP(MAX(mmo,mmv)-1,$B$13:$O$501,14))+(VLOOKUP(MAX(mmo,mmv)-1,$B$13:$O$501,14)-pmo)),N220/((1-VLOOKUP(MAX(mmo,mmv)-1,$B$13:$O$501,14)+(VLOOKUP(MAX(mmo,mmv)-1,$B$13:$O$501,14)-pmo)))),N220/(1-VLOOKUP(MAX(mmo,mmv)-2,$B$13:$O$501,14)))</f>
        <v>#DIV/0!</v>
      </c>
      <c r="AU221" s="101" t="e">
        <f t="shared" si="180"/>
        <v>#DIV/0!</v>
      </c>
      <c r="AV221" s="287" t="e">
        <f t="shared" si="181"/>
        <v>#DIV/0!</v>
      </c>
      <c r="AW221" s="235" t="e">
        <f t="shared" si="217"/>
        <v>#DIV/0!</v>
      </c>
      <c r="AX221" s="281">
        <f>IF(B221&gt;mpfo,0,IF(B221=mpfo,(vld-teo*(1+tcfo-incc)^(MAX(mmo,mmv)-mbfo))*-1,IF(SUM($N$13:N220)&gt;=pmo,IF(($V220/ntudv)&gt;=pmv,IF(B221=MAX(mmo,mmv),-teo*(1+tcfo-incc)^(B221-mbfo),0),0),0)))</f>
        <v>0</v>
      </c>
      <c r="AY221" s="292" t="e">
        <f t="shared" si="182"/>
        <v>#DIV/0!</v>
      </c>
      <c r="AZ221" s="235" t="e">
        <f t="shared" si="218"/>
        <v>#DIV/0!</v>
      </c>
      <c r="BA221" s="269" t="e">
        <f t="shared" si="219"/>
        <v>#DIV/0!</v>
      </c>
      <c r="BB221" s="292" t="e">
        <f t="shared" si="220"/>
        <v>#DIV/0!</v>
      </c>
      <c r="BC221" s="238" t="e">
        <f>IF(SUM($BC$13:BC220)&gt;0,0,IF(BB221&gt;0,B221,0))</f>
        <v>#DIV/0!</v>
      </c>
      <c r="BD221" s="292" t="e">
        <f>IF(BB221+SUM($BD$12:BD220)&gt;=0,0,-BB221-SUM($BD$12:BD220))</f>
        <v>#DIV/0!</v>
      </c>
      <c r="BE221" s="235" t="e">
        <f>BB221+SUM($BD$12:BD221)</f>
        <v>#DIV/0!</v>
      </c>
      <c r="BF221" s="292" t="e">
        <f>-MIN(BE221:$BE$501)-SUM(BF$12:$BF220)</f>
        <v>#DIV/0!</v>
      </c>
      <c r="BG221" s="235" t="e">
        <f t="shared" si="185"/>
        <v>#DIV/0!</v>
      </c>
    </row>
    <row r="222" spans="2:59">
      <c r="B222" s="246">
        <v>209</v>
      </c>
      <c r="C222" s="241">
        <f t="shared" si="184"/>
        <v>49039</v>
      </c>
      <c r="D222" s="229">
        <f t="shared" si="186"/>
        <v>4</v>
      </c>
      <c r="E222" s="230" t="str">
        <f t="shared" si="187"/>
        <v>-</v>
      </c>
      <c r="F222" s="231">
        <f t="shared" si="188"/>
        <v>0</v>
      </c>
      <c r="G222" s="231">
        <f t="shared" si="189"/>
        <v>0</v>
      </c>
      <c r="H222" s="231">
        <f t="shared" si="190"/>
        <v>0</v>
      </c>
      <c r="I222" s="268">
        <f t="shared" si="175"/>
        <v>0</v>
      </c>
      <c r="J222" s="269">
        <f t="shared" si="191"/>
        <v>0</v>
      </c>
      <c r="K222" s="269">
        <f t="shared" si="192"/>
        <v>0</v>
      </c>
      <c r="L222" s="269">
        <f t="shared" si="176"/>
        <v>0</v>
      </c>
      <c r="M222" s="269">
        <f t="shared" si="177"/>
        <v>0</v>
      </c>
      <c r="N222" s="233">
        <f>VLOOKUP(B222,Dados!$L$86:$P$90,5)</f>
        <v>0</v>
      </c>
      <c r="O222" s="270">
        <f t="shared" si="193"/>
        <v>0.99999999999999989</v>
      </c>
      <c r="P222" s="269">
        <f t="shared" si="194"/>
        <v>0</v>
      </c>
      <c r="Q222" s="269" t="e">
        <f t="shared" si="195"/>
        <v>#DIV/0!</v>
      </c>
      <c r="R222" s="269">
        <f t="shared" si="196"/>
        <v>0</v>
      </c>
      <c r="S222" s="269" t="e">
        <f t="shared" si="197"/>
        <v>#DIV/0!</v>
      </c>
      <c r="T222" s="269" t="e">
        <f t="shared" si="183"/>
        <v>#DIV/0!</v>
      </c>
      <c r="U222" s="234">
        <f t="shared" si="198"/>
        <v>0</v>
      </c>
      <c r="V222" s="232" t="e">
        <f t="shared" si="199"/>
        <v>#DIV/0!</v>
      </c>
      <c r="W222" s="269" t="e">
        <f t="shared" si="200"/>
        <v>#DIV/0!</v>
      </c>
      <c r="X222" s="235">
        <f t="shared" si="178"/>
        <v>0</v>
      </c>
      <c r="Y222" s="236">
        <f t="shared" si="201"/>
        <v>5</v>
      </c>
      <c r="Z222" s="236" t="e">
        <f t="shared" si="202"/>
        <v>#DIV/0!</v>
      </c>
      <c r="AA222" s="236">
        <f t="shared" si="203"/>
        <v>3</v>
      </c>
      <c r="AB222" s="236" t="e">
        <f t="shared" si="204"/>
        <v>#DIV/0!</v>
      </c>
      <c r="AC222" s="235">
        <f t="shared" si="205"/>
        <v>0</v>
      </c>
      <c r="AD222" s="235">
        <f t="shared" si="206"/>
        <v>0</v>
      </c>
      <c r="AE222" s="279">
        <f t="shared" si="207"/>
        <v>0</v>
      </c>
      <c r="AF222" s="232">
        <f t="shared" si="208"/>
        <v>0</v>
      </c>
      <c r="AG222" s="235">
        <f t="shared" si="209"/>
        <v>0</v>
      </c>
      <c r="AH222" s="269">
        <f t="shared" si="210"/>
        <v>0</v>
      </c>
      <c r="AI222" s="232">
        <f t="shared" si="211"/>
        <v>0</v>
      </c>
      <c r="AJ222" s="235">
        <f t="shared" si="212"/>
        <v>0</v>
      </c>
      <c r="AK222" s="269">
        <f t="shared" si="213"/>
        <v>0</v>
      </c>
      <c r="AL222" s="269">
        <f t="shared" si="179"/>
        <v>0</v>
      </c>
      <c r="AM222" s="281" t="e">
        <f>IF(B222&gt;=mpfo,pos*vvm*Dados!$E$122*(ntudv-SUM(U223:$U$301))-SUM($AM$13:AM221),0)</f>
        <v>#DIV/0!</v>
      </c>
      <c r="AN222" s="269" t="e">
        <f t="shared" si="214"/>
        <v>#DIV/0!</v>
      </c>
      <c r="AO222" s="232" t="e">
        <f t="shared" si="215"/>
        <v>#DIV/0!</v>
      </c>
      <c r="AP222" s="242" t="e">
        <f t="shared" si="216"/>
        <v>#DIV/0!</v>
      </c>
      <c r="AQ222" s="235" t="e">
        <f>IF(AP222+SUM($AQ$12:AQ221)&gt;=0,0,-AP222-SUM($AQ$12:AQ221))</f>
        <v>#DIV/0!</v>
      </c>
      <c r="AR222" s="235">
        <f>IF(SUM($N$13:N221)&gt;=pmo,IF(SUM(N221:$N$501)&gt;(1-pmo),B222,0),0)</f>
        <v>0</v>
      </c>
      <c r="AS222" s="235" t="e">
        <f>IF((SUM($U$13:$U221)/ntudv)&gt;=pmv,IF((SUM($U221:$U$501)/ntudv)&gt;(1-pmv),B222,0),0)</f>
        <v>#DIV/0!</v>
      </c>
      <c r="AT222" s="237" t="e">
        <f>IF(MAX(mmo,mmv)=mmo,IF(B222=AR222,(SUM(N$13:$N221)-pmo)/((1-VLOOKUP(MAX(mmo,mmv)-1,$B$13:$O$501,14))+(VLOOKUP(MAX(mmo,mmv)-1,$B$13:$O$501,14)-pmo)),N221/((1-VLOOKUP(MAX(mmo,mmv)-1,$B$13:$O$501,14)+(VLOOKUP(MAX(mmo,mmv)-1,$B$13:$O$501,14)-pmo)))),N221/(1-VLOOKUP(MAX(mmo,mmv)-2,$B$13:$O$501,14)))</f>
        <v>#DIV/0!</v>
      </c>
      <c r="AU222" s="101" t="e">
        <f t="shared" si="180"/>
        <v>#DIV/0!</v>
      </c>
      <c r="AV222" s="287" t="e">
        <f t="shared" si="181"/>
        <v>#DIV/0!</v>
      </c>
      <c r="AW222" s="235" t="e">
        <f t="shared" si="217"/>
        <v>#DIV/0!</v>
      </c>
      <c r="AX222" s="281">
        <f>IF(B222&gt;mpfo,0,IF(B222=mpfo,(vld-teo*(1+tcfo-incc)^(MAX(mmo,mmv)-mbfo))*-1,IF(SUM($N$13:N221)&gt;=pmo,IF(($V221/ntudv)&gt;=pmv,IF(B222=MAX(mmo,mmv),-teo*(1+tcfo-incc)^(B222-mbfo),0),0),0)))</f>
        <v>0</v>
      </c>
      <c r="AY222" s="292" t="e">
        <f t="shared" si="182"/>
        <v>#DIV/0!</v>
      </c>
      <c r="AZ222" s="235" t="e">
        <f t="shared" si="218"/>
        <v>#DIV/0!</v>
      </c>
      <c r="BA222" s="269" t="e">
        <f t="shared" si="219"/>
        <v>#DIV/0!</v>
      </c>
      <c r="BB222" s="292" t="e">
        <f t="shared" si="220"/>
        <v>#DIV/0!</v>
      </c>
      <c r="BC222" s="238" t="e">
        <f>IF(SUM($BC$13:BC221)&gt;0,0,IF(BB222&gt;0,B222,0))</f>
        <v>#DIV/0!</v>
      </c>
      <c r="BD222" s="292" t="e">
        <f>IF(BB222+SUM($BD$12:BD221)&gt;=0,0,-BB222-SUM($BD$12:BD221))</f>
        <v>#DIV/0!</v>
      </c>
      <c r="BE222" s="235" t="e">
        <f>BB222+SUM($BD$12:BD222)</f>
        <v>#DIV/0!</v>
      </c>
      <c r="BF222" s="292" t="e">
        <f>-MIN(BE222:$BE$501)-SUM(BF$12:$BF221)</f>
        <v>#DIV/0!</v>
      </c>
      <c r="BG222" s="235" t="e">
        <f t="shared" si="185"/>
        <v>#DIV/0!</v>
      </c>
    </row>
    <row r="223" spans="2:59">
      <c r="B223" s="120">
        <v>210</v>
      </c>
      <c r="C223" s="241">
        <f t="shared" si="184"/>
        <v>49069</v>
      </c>
      <c r="D223" s="229">
        <f t="shared" si="186"/>
        <v>5</v>
      </c>
      <c r="E223" s="230" t="str">
        <f t="shared" si="187"/>
        <v>-</v>
      </c>
      <c r="F223" s="231">
        <f t="shared" si="188"/>
        <v>0</v>
      </c>
      <c r="G223" s="231">
        <f t="shared" si="189"/>
        <v>0</v>
      </c>
      <c r="H223" s="231">
        <f t="shared" si="190"/>
        <v>0</v>
      </c>
      <c r="I223" s="268">
        <f t="shared" si="175"/>
        <v>0</v>
      </c>
      <c r="J223" s="269">
        <f t="shared" si="191"/>
        <v>0</v>
      </c>
      <c r="K223" s="269">
        <f t="shared" si="192"/>
        <v>0</v>
      </c>
      <c r="L223" s="269">
        <f t="shared" si="176"/>
        <v>0</v>
      </c>
      <c r="M223" s="269">
        <f t="shared" si="177"/>
        <v>0</v>
      </c>
      <c r="N223" s="233">
        <f>VLOOKUP(B223,Dados!$L$86:$P$90,5)</f>
        <v>0</v>
      </c>
      <c r="O223" s="270">
        <f t="shared" si="193"/>
        <v>0.99999999999999989</v>
      </c>
      <c r="P223" s="269">
        <f t="shared" si="194"/>
        <v>0</v>
      </c>
      <c r="Q223" s="269" t="e">
        <f t="shared" si="195"/>
        <v>#DIV/0!</v>
      </c>
      <c r="R223" s="269">
        <f t="shared" si="196"/>
        <v>0</v>
      </c>
      <c r="S223" s="269" t="e">
        <f t="shared" si="197"/>
        <v>#DIV/0!</v>
      </c>
      <c r="T223" s="269" t="e">
        <f t="shared" si="183"/>
        <v>#DIV/0!</v>
      </c>
      <c r="U223" s="234">
        <f t="shared" si="198"/>
        <v>0</v>
      </c>
      <c r="V223" s="232" t="e">
        <f t="shared" si="199"/>
        <v>#DIV/0!</v>
      </c>
      <c r="W223" s="269" t="e">
        <f t="shared" si="200"/>
        <v>#DIV/0!</v>
      </c>
      <c r="X223" s="235">
        <f t="shared" si="178"/>
        <v>0</v>
      </c>
      <c r="Y223" s="236">
        <f t="shared" si="201"/>
        <v>5</v>
      </c>
      <c r="Z223" s="236" t="e">
        <f t="shared" si="202"/>
        <v>#DIV/0!</v>
      </c>
      <c r="AA223" s="236">
        <f t="shared" si="203"/>
        <v>3</v>
      </c>
      <c r="AB223" s="236" t="e">
        <f t="shared" si="204"/>
        <v>#DIV/0!</v>
      </c>
      <c r="AC223" s="235">
        <f t="shared" si="205"/>
        <v>0</v>
      </c>
      <c r="AD223" s="235">
        <f t="shared" si="206"/>
        <v>0</v>
      </c>
      <c r="AE223" s="279">
        <f t="shared" si="207"/>
        <v>0</v>
      </c>
      <c r="AF223" s="232">
        <f t="shared" si="208"/>
        <v>0</v>
      </c>
      <c r="AG223" s="235">
        <f t="shared" si="209"/>
        <v>0</v>
      </c>
      <c r="AH223" s="269">
        <f t="shared" si="210"/>
        <v>0</v>
      </c>
      <c r="AI223" s="232">
        <f t="shared" si="211"/>
        <v>0</v>
      </c>
      <c r="AJ223" s="235">
        <f t="shared" si="212"/>
        <v>0</v>
      </c>
      <c r="AK223" s="269">
        <f t="shared" si="213"/>
        <v>0</v>
      </c>
      <c r="AL223" s="269">
        <f t="shared" si="179"/>
        <v>0</v>
      </c>
      <c r="AM223" s="281" t="e">
        <f>IF(B223&gt;=mpfo,pos*vvm*Dados!$E$122*(ntudv-SUM(U224:$U$301))-SUM($AM$13:AM222),0)</f>
        <v>#DIV/0!</v>
      </c>
      <c r="AN223" s="269" t="e">
        <f t="shared" si="214"/>
        <v>#DIV/0!</v>
      </c>
      <c r="AO223" s="232" t="e">
        <f t="shared" si="215"/>
        <v>#DIV/0!</v>
      </c>
      <c r="AP223" s="242" t="e">
        <f t="shared" si="216"/>
        <v>#DIV/0!</v>
      </c>
      <c r="AQ223" s="235" t="e">
        <f>IF(AP223+SUM($AQ$12:AQ222)&gt;=0,0,-AP223-SUM($AQ$12:AQ222))</f>
        <v>#DIV/0!</v>
      </c>
      <c r="AR223" s="235">
        <f>IF(SUM($N$13:N222)&gt;=pmo,IF(SUM(N222:$N$501)&gt;(1-pmo),B223,0),0)</f>
        <v>0</v>
      </c>
      <c r="AS223" s="235" t="e">
        <f>IF((SUM($U$13:$U222)/ntudv)&gt;=pmv,IF((SUM($U222:$U$501)/ntudv)&gt;(1-pmv),B223,0),0)</f>
        <v>#DIV/0!</v>
      </c>
      <c r="AT223" s="237" t="e">
        <f>IF(MAX(mmo,mmv)=mmo,IF(B223=AR223,(SUM(N$13:$N222)-pmo)/((1-VLOOKUP(MAX(mmo,mmv)-1,$B$13:$O$501,14))+(VLOOKUP(MAX(mmo,mmv)-1,$B$13:$O$501,14)-pmo)),N222/((1-VLOOKUP(MAX(mmo,mmv)-1,$B$13:$O$501,14)+(VLOOKUP(MAX(mmo,mmv)-1,$B$13:$O$501,14)-pmo)))),N222/(1-VLOOKUP(MAX(mmo,mmv)-2,$B$13:$O$501,14)))</f>
        <v>#DIV/0!</v>
      </c>
      <c r="AU223" s="101" t="e">
        <f t="shared" si="180"/>
        <v>#DIV/0!</v>
      </c>
      <c r="AV223" s="287" t="e">
        <f t="shared" si="181"/>
        <v>#DIV/0!</v>
      </c>
      <c r="AW223" s="235" t="e">
        <f t="shared" si="217"/>
        <v>#DIV/0!</v>
      </c>
      <c r="AX223" s="281">
        <f>IF(B223&gt;mpfo,0,IF(B223=mpfo,(vld-teo*(1+tcfo-incc)^(MAX(mmo,mmv)-mbfo))*-1,IF(SUM($N$13:N222)&gt;=pmo,IF(($V222/ntudv)&gt;=pmv,IF(B223=MAX(mmo,mmv),-teo*(1+tcfo-incc)^(B223-mbfo),0),0),0)))</f>
        <v>0</v>
      </c>
      <c r="AY223" s="292" t="e">
        <f t="shared" si="182"/>
        <v>#DIV/0!</v>
      </c>
      <c r="AZ223" s="235" t="e">
        <f t="shared" si="218"/>
        <v>#DIV/0!</v>
      </c>
      <c r="BA223" s="269" t="e">
        <f t="shared" si="219"/>
        <v>#DIV/0!</v>
      </c>
      <c r="BB223" s="292" t="e">
        <f t="shared" si="220"/>
        <v>#DIV/0!</v>
      </c>
      <c r="BC223" s="238" t="e">
        <f>IF(SUM($BC$13:BC222)&gt;0,0,IF(BB223&gt;0,B223,0))</f>
        <v>#DIV/0!</v>
      </c>
      <c r="BD223" s="292" t="e">
        <f>IF(BB223+SUM($BD$12:BD222)&gt;=0,0,-BB223-SUM($BD$12:BD222))</f>
        <v>#DIV/0!</v>
      </c>
      <c r="BE223" s="235" t="e">
        <f>BB223+SUM($BD$12:BD223)</f>
        <v>#DIV/0!</v>
      </c>
      <c r="BF223" s="292" t="e">
        <f>-MIN(BE223:$BE$501)-SUM(BF$12:$BF222)</f>
        <v>#DIV/0!</v>
      </c>
      <c r="BG223" s="235" t="e">
        <f t="shared" si="185"/>
        <v>#DIV/0!</v>
      </c>
    </row>
    <row r="224" spans="2:59">
      <c r="B224" s="246">
        <v>211</v>
      </c>
      <c r="C224" s="241">
        <f t="shared" si="184"/>
        <v>49100</v>
      </c>
      <c r="D224" s="229">
        <f t="shared" si="186"/>
        <v>6</v>
      </c>
      <c r="E224" s="230" t="str">
        <f t="shared" si="187"/>
        <v>-</v>
      </c>
      <c r="F224" s="231">
        <f t="shared" si="188"/>
        <v>0</v>
      </c>
      <c r="G224" s="231">
        <f t="shared" si="189"/>
        <v>0</v>
      </c>
      <c r="H224" s="231">
        <f t="shared" si="190"/>
        <v>0</v>
      </c>
      <c r="I224" s="268">
        <f t="shared" si="175"/>
        <v>0</v>
      </c>
      <c r="J224" s="269">
        <f t="shared" si="191"/>
        <v>0</v>
      </c>
      <c r="K224" s="269">
        <f t="shared" si="192"/>
        <v>0</v>
      </c>
      <c r="L224" s="269">
        <f t="shared" si="176"/>
        <v>0</v>
      </c>
      <c r="M224" s="269">
        <f t="shared" si="177"/>
        <v>0</v>
      </c>
      <c r="N224" s="233">
        <f>VLOOKUP(B224,Dados!$L$86:$P$90,5)</f>
        <v>0</v>
      </c>
      <c r="O224" s="270">
        <f t="shared" si="193"/>
        <v>0.99999999999999989</v>
      </c>
      <c r="P224" s="269">
        <f t="shared" si="194"/>
        <v>0</v>
      </c>
      <c r="Q224" s="269" t="e">
        <f t="shared" si="195"/>
        <v>#DIV/0!</v>
      </c>
      <c r="R224" s="269">
        <f t="shared" si="196"/>
        <v>0</v>
      </c>
      <c r="S224" s="269" t="e">
        <f t="shared" si="197"/>
        <v>#DIV/0!</v>
      </c>
      <c r="T224" s="269" t="e">
        <f t="shared" si="183"/>
        <v>#DIV/0!</v>
      </c>
      <c r="U224" s="234">
        <f t="shared" si="198"/>
        <v>0</v>
      </c>
      <c r="V224" s="232" t="e">
        <f t="shared" si="199"/>
        <v>#DIV/0!</v>
      </c>
      <c r="W224" s="269" t="e">
        <f t="shared" si="200"/>
        <v>#DIV/0!</v>
      </c>
      <c r="X224" s="235">
        <f t="shared" si="178"/>
        <v>0</v>
      </c>
      <c r="Y224" s="236">
        <f t="shared" si="201"/>
        <v>5</v>
      </c>
      <c r="Z224" s="236" t="e">
        <f t="shared" si="202"/>
        <v>#DIV/0!</v>
      </c>
      <c r="AA224" s="236">
        <f t="shared" si="203"/>
        <v>3</v>
      </c>
      <c r="AB224" s="236" t="e">
        <f t="shared" si="204"/>
        <v>#DIV/0!</v>
      </c>
      <c r="AC224" s="235">
        <f t="shared" si="205"/>
        <v>0</v>
      </c>
      <c r="AD224" s="235">
        <f t="shared" si="206"/>
        <v>0</v>
      </c>
      <c r="AE224" s="279">
        <f t="shared" si="207"/>
        <v>0</v>
      </c>
      <c r="AF224" s="232">
        <f t="shared" si="208"/>
        <v>1</v>
      </c>
      <c r="AG224" s="235">
        <f t="shared" si="209"/>
        <v>0</v>
      </c>
      <c r="AH224" s="269">
        <f t="shared" si="210"/>
        <v>0</v>
      </c>
      <c r="AI224" s="232">
        <f t="shared" si="211"/>
        <v>0</v>
      </c>
      <c r="AJ224" s="235">
        <f t="shared" si="212"/>
        <v>0</v>
      </c>
      <c r="AK224" s="269">
        <f t="shared" si="213"/>
        <v>0</v>
      </c>
      <c r="AL224" s="269">
        <f t="shared" si="179"/>
        <v>0</v>
      </c>
      <c r="AM224" s="281" t="e">
        <f>IF(B224&gt;=mpfo,pos*vvm*Dados!$E$122*(ntudv-SUM(U225:$U$301))-SUM($AM$13:AM223),0)</f>
        <v>#DIV/0!</v>
      </c>
      <c r="AN224" s="269" t="e">
        <f t="shared" si="214"/>
        <v>#DIV/0!</v>
      </c>
      <c r="AO224" s="232" t="e">
        <f t="shared" si="215"/>
        <v>#DIV/0!</v>
      </c>
      <c r="AP224" s="242" t="e">
        <f t="shared" si="216"/>
        <v>#DIV/0!</v>
      </c>
      <c r="AQ224" s="235" t="e">
        <f>IF(AP224+SUM($AQ$12:AQ223)&gt;=0,0,-AP224-SUM($AQ$12:AQ223))</f>
        <v>#DIV/0!</v>
      </c>
      <c r="AR224" s="235">
        <f>IF(SUM($N$13:N223)&gt;=pmo,IF(SUM(N223:$N$501)&gt;(1-pmo),B224,0),0)</f>
        <v>0</v>
      </c>
      <c r="AS224" s="235" t="e">
        <f>IF((SUM($U$13:$U223)/ntudv)&gt;=pmv,IF((SUM($U223:$U$501)/ntudv)&gt;(1-pmv),B224,0),0)</f>
        <v>#DIV/0!</v>
      </c>
      <c r="AT224" s="237" t="e">
        <f>IF(MAX(mmo,mmv)=mmo,IF(B224=AR224,(SUM(N$13:$N223)-pmo)/((1-VLOOKUP(MAX(mmo,mmv)-1,$B$13:$O$501,14))+(VLOOKUP(MAX(mmo,mmv)-1,$B$13:$O$501,14)-pmo)),N223/((1-VLOOKUP(MAX(mmo,mmv)-1,$B$13:$O$501,14)+(VLOOKUP(MAX(mmo,mmv)-1,$B$13:$O$501,14)-pmo)))),N223/(1-VLOOKUP(MAX(mmo,mmv)-2,$B$13:$O$501,14)))</f>
        <v>#DIV/0!</v>
      </c>
      <c r="AU224" s="101" t="e">
        <f t="shared" si="180"/>
        <v>#DIV/0!</v>
      </c>
      <c r="AV224" s="287" t="e">
        <f t="shared" si="181"/>
        <v>#DIV/0!</v>
      </c>
      <c r="AW224" s="235" t="e">
        <f t="shared" si="217"/>
        <v>#DIV/0!</v>
      </c>
      <c r="AX224" s="281">
        <f>IF(B224&gt;mpfo,0,IF(B224=mpfo,(vld-teo*(1+tcfo-incc)^(MAX(mmo,mmv)-mbfo))*-1,IF(SUM($N$13:N223)&gt;=pmo,IF(($V223/ntudv)&gt;=pmv,IF(B224=MAX(mmo,mmv),-teo*(1+tcfo-incc)^(B224-mbfo),0),0),0)))</f>
        <v>0</v>
      </c>
      <c r="AY224" s="292" t="e">
        <f t="shared" si="182"/>
        <v>#DIV/0!</v>
      </c>
      <c r="AZ224" s="235" t="e">
        <f t="shared" si="218"/>
        <v>#DIV/0!</v>
      </c>
      <c r="BA224" s="269" t="e">
        <f t="shared" si="219"/>
        <v>#DIV/0!</v>
      </c>
      <c r="BB224" s="292" t="e">
        <f t="shared" si="220"/>
        <v>#DIV/0!</v>
      </c>
      <c r="BC224" s="238" t="e">
        <f>IF(SUM($BC$13:BC223)&gt;0,0,IF(BB224&gt;0,B224,0))</f>
        <v>#DIV/0!</v>
      </c>
      <c r="BD224" s="292" t="e">
        <f>IF(BB224+SUM($BD$12:BD223)&gt;=0,0,-BB224-SUM($BD$12:BD223))</f>
        <v>#DIV/0!</v>
      </c>
      <c r="BE224" s="235" t="e">
        <f>BB224+SUM($BD$12:BD224)</f>
        <v>#DIV/0!</v>
      </c>
      <c r="BF224" s="292" t="e">
        <f>-MIN(BE224:$BE$501)-SUM(BF$12:$BF223)</f>
        <v>#DIV/0!</v>
      </c>
      <c r="BG224" s="235" t="e">
        <f t="shared" si="185"/>
        <v>#DIV/0!</v>
      </c>
    </row>
    <row r="225" spans="2:59">
      <c r="B225" s="120">
        <v>212</v>
      </c>
      <c r="C225" s="241">
        <f t="shared" si="184"/>
        <v>49130</v>
      </c>
      <c r="D225" s="229">
        <f t="shared" si="186"/>
        <v>7</v>
      </c>
      <c r="E225" s="230" t="str">
        <f t="shared" si="187"/>
        <v>-</v>
      </c>
      <c r="F225" s="231">
        <f t="shared" si="188"/>
        <v>0</v>
      </c>
      <c r="G225" s="231">
        <f t="shared" si="189"/>
        <v>0</v>
      </c>
      <c r="H225" s="231">
        <f t="shared" si="190"/>
        <v>0</v>
      </c>
      <c r="I225" s="268">
        <f t="shared" si="175"/>
        <v>0</v>
      </c>
      <c r="J225" s="269">
        <f t="shared" si="191"/>
        <v>0</v>
      </c>
      <c r="K225" s="269">
        <f t="shared" si="192"/>
        <v>0</v>
      </c>
      <c r="L225" s="269">
        <f t="shared" si="176"/>
        <v>0</v>
      </c>
      <c r="M225" s="269">
        <f t="shared" si="177"/>
        <v>0</v>
      </c>
      <c r="N225" s="233">
        <f>VLOOKUP(B225,Dados!$L$86:$P$90,5)</f>
        <v>0</v>
      </c>
      <c r="O225" s="270">
        <f t="shared" si="193"/>
        <v>0.99999999999999989</v>
      </c>
      <c r="P225" s="269">
        <f t="shared" si="194"/>
        <v>0</v>
      </c>
      <c r="Q225" s="269" t="e">
        <f t="shared" si="195"/>
        <v>#DIV/0!</v>
      </c>
      <c r="R225" s="269">
        <f t="shared" si="196"/>
        <v>0</v>
      </c>
      <c r="S225" s="269" t="e">
        <f t="shared" si="197"/>
        <v>#DIV/0!</v>
      </c>
      <c r="T225" s="269" t="e">
        <f t="shared" si="183"/>
        <v>#DIV/0!</v>
      </c>
      <c r="U225" s="234">
        <f t="shared" si="198"/>
        <v>0</v>
      </c>
      <c r="V225" s="232" t="e">
        <f t="shared" si="199"/>
        <v>#DIV/0!</v>
      </c>
      <c r="W225" s="269" t="e">
        <f t="shared" si="200"/>
        <v>#DIV/0!</v>
      </c>
      <c r="X225" s="235">
        <f t="shared" si="178"/>
        <v>0</v>
      </c>
      <c r="Y225" s="236">
        <f t="shared" si="201"/>
        <v>5</v>
      </c>
      <c r="Z225" s="236" t="e">
        <f t="shared" si="202"/>
        <v>#DIV/0!</v>
      </c>
      <c r="AA225" s="236">
        <f t="shared" si="203"/>
        <v>3</v>
      </c>
      <c r="AB225" s="236" t="e">
        <f t="shared" si="204"/>
        <v>#DIV/0!</v>
      </c>
      <c r="AC225" s="235">
        <f t="shared" si="205"/>
        <v>0</v>
      </c>
      <c r="AD225" s="235">
        <f t="shared" si="206"/>
        <v>0</v>
      </c>
      <c r="AE225" s="279">
        <f t="shared" si="207"/>
        <v>0</v>
      </c>
      <c r="AF225" s="232">
        <f t="shared" si="208"/>
        <v>0</v>
      </c>
      <c r="AG225" s="235">
        <f t="shared" si="209"/>
        <v>0</v>
      </c>
      <c r="AH225" s="269">
        <f t="shared" si="210"/>
        <v>0</v>
      </c>
      <c r="AI225" s="232">
        <f t="shared" si="211"/>
        <v>0</v>
      </c>
      <c r="AJ225" s="235">
        <f t="shared" si="212"/>
        <v>0</v>
      </c>
      <c r="AK225" s="269">
        <f t="shared" si="213"/>
        <v>0</v>
      </c>
      <c r="AL225" s="269">
        <f t="shared" si="179"/>
        <v>0</v>
      </c>
      <c r="AM225" s="281" t="e">
        <f>IF(B225&gt;=mpfo,pos*vvm*Dados!$E$122*(ntudv-SUM(U226:$U$301))-SUM($AM$13:AM224),0)</f>
        <v>#DIV/0!</v>
      </c>
      <c r="AN225" s="269" t="e">
        <f t="shared" si="214"/>
        <v>#DIV/0!</v>
      </c>
      <c r="AO225" s="232" t="e">
        <f t="shared" si="215"/>
        <v>#DIV/0!</v>
      </c>
      <c r="AP225" s="242" t="e">
        <f t="shared" si="216"/>
        <v>#DIV/0!</v>
      </c>
      <c r="AQ225" s="235" t="e">
        <f>IF(AP225+SUM($AQ$12:AQ224)&gt;=0,0,-AP225-SUM($AQ$12:AQ224))</f>
        <v>#DIV/0!</v>
      </c>
      <c r="AR225" s="235">
        <f>IF(SUM($N$13:N224)&gt;=pmo,IF(SUM(N224:$N$501)&gt;(1-pmo),B225,0),0)</f>
        <v>0</v>
      </c>
      <c r="AS225" s="235" t="e">
        <f>IF((SUM($U$13:$U224)/ntudv)&gt;=pmv,IF((SUM($U224:$U$501)/ntudv)&gt;(1-pmv),B225,0),0)</f>
        <v>#DIV/0!</v>
      </c>
      <c r="AT225" s="237" t="e">
        <f>IF(MAX(mmo,mmv)=mmo,IF(B225=AR225,(SUM(N$13:$N224)-pmo)/((1-VLOOKUP(MAX(mmo,mmv)-1,$B$13:$O$501,14))+(VLOOKUP(MAX(mmo,mmv)-1,$B$13:$O$501,14)-pmo)),N224/((1-VLOOKUP(MAX(mmo,mmv)-1,$B$13:$O$501,14)+(VLOOKUP(MAX(mmo,mmv)-1,$B$13:$O$501,14)-pmo)))),N224/(1-VLOOKUP(MAX(mmo,mmv)-2,$B$13:$O$501,14)))</f>
        <v>#DIV/0!</v>
      </c>
      <c r="AU225" s="101" t="e">
        <f t="shared" si="180"/>
        <v>#DIV/0!</v>
      </c>
      <c r="AV225" s="287" t="e">
        <f t="shared" si="181"/>
        <v>#DIV/0!</v>
      </c>
      <c r="AW225" s="235" t="e">
        <f t="shared" si="217"/>
        <v>#DIV/0!</v>
      </c>
      <c r="AX225" s="281">
        <f>IF(B225&gt;mpfo,0,IF(B225=mpfo,(vld-teo*(1+tcfo-incc)^(MAX(mmo,mmv)-mbfo))*-1,IF(SUM($N$13:N224)&gt;=pmo,IF(($V224/ntudv)&gt;=pmv,IF(B225=MAX(mmo,mmv),-teo*(1+tcfo-incc)^(B225-mbfo),0),0),0)))</f>
        <v>0</v>
      </c>
      <c r="AY225" s="292" t="e">
        <f t="shared" si="182"/>
        <v>#DIV/0!</v>
      </c>
      <c r="AZ225" s="235" t="e">
        <f t="shared" si="218"/>
        <v>#DIV/0!</v>
      </c>
      <c r="BA225" s="269" t="e">
        <f t="shared" si="219"/>
        <v>#DIV/0!</v>
      </c>
      <c r="BB225" s="292" t="e">
        <f t="shared" si="220"/>
        <v>#DIV/0!</v>
      </c>
      <c r="BC225" s="238" t="e">
        <f>IF(SUM($BC$13:BC224)&gt;0,0,IF(BB225&gt;0,B225,0))</f>
        <v>#DIV/0!</v>
      </c>
      <c r="BD225" s="292" t="e">
        <f>IF(BB225+SUM($BD$12:BD224)&gt;=0,0,-BB225-SUM($BD$12:BD224))</f>
        <v>#DIV/0!</v>
      </c>
      <c r="BE225" s="235" t="e">
        <f>BB225+SUM($BD$12:BD225)</f>
        <v>#DIV/0!</v>
      </c>
      <c r="BF225" s="292" t="e">
        <f>-MIN(BE225:$BE$501)-SUM(BF$12:$BF224)</f>
        <v>#DIV/0!</v>
      </c>
      <c r="BG225" s="235" t="e">
        <f t="shared" si="185"/>
        <v>#DIV/0!</v>
      </c>
    </row>
    <row r="226" spans="2:59">
      <c r="B226" s="246">
        <v>213</v>
      </c>
      <c r="C226" s="241">
        <f t="shared" si="184"/>
        <v>49161</v>
      </c>
      <c r="D226" s="229">
        <f t="shared" si="186"/>
        <v>8</v>
      </c>
      <c r="E226" s="230" t="str">
        <f t="shared" si="187"/>
        <v>-</v>
      </c>
      <c r="F226" s="231">
        <f t="shared" si="188"/>
        <v>0</v>
      </c>
      <c r="G226" s="231">
        <f t="shared" si="189"/>
        <v>0</v>
      </c>
      <c r="H226" s="231">
        <f t="shared" si="190"/>
        <v>0</v>
      </c>
      <c r="I226" s="268">
        <f t="shared" si="175"/>
        <v>0</v>
      </c>
      <c r="J226" s="269">
        <f t="shared" si="191"/>
        <v>0</v>
      </c>
      <c r="K226" s="269">
        <f t="shared" si="192"/>
        <v>0</v>
      </c>
      <c r="L226" s="269">
        <f t="shared" si="176"/>
        <v>0</v>
      </c>
      <c r="M226" s="269">
        <f t="shared" si="177"/>
        <v>0</v>
      </c>
      <c r="N226" s="233">
        <f>VLOOKUP(B226,Dados!$L$86:$P$90,5)</f>
        <v>0</v>
      </c>
      <c r="O226" s="270">
        <f t="shared" si="193"/>
        <v>0.99999999999999989</v>
      </c>
      <c r="P226" s="269">
        <f t="shared" si="194"/>
        <v>0</v>
      </c>
      <c r="Q226" s="269" t="e">
        <f t="shared" si="195"/>
        <v>#DIV/0!</v>
      </c>
      <c r="R226" s="269">
        <f t="shared" si="196"/>
        <v>0</v>
      </c>
      <c r="S226" s="269" t="e">
        <f t="shared" si="197"/>
        <v>#DIV/0!</v>
      </c>
      <c r="T226" s="269" t="e">
        <f t="shared" si="183"/>
        <v>#DIV/0!</v>
      </c>
      <c r="U226" s="234">
        <f t="shared" si="198"/>
        <v>0</v>
      </c>
      <c r="V226" s="232" t="e">
        <f t="shared" si="199"/>
        <v>#DIV/0!</v>
      </c>
      <c r="W226" s="269" t="e">
        <f t="shared" si="200"/>
        <v>#DIV/0!</v>
      </c>
      <c r="X226" s="235">
        <f t="shared" si="178"/>
        <v>0</v>
      </c>
      <c r="Y226" s="236">
        <f t="shared" si="201"/>
        <v>5</v>
      </c>
      <c r="Z226" s="236" t="e">
        <f t="shared" si="202"/>
        <v>#DIV/0!</v>
      </c>
      <c r="AA226" s="236">
        <f t="shared" si="203"/>
        <v>3</v>
      </c>
      <c r="AB226" s="236" t="e">
        <f t="shared" si="204"/>
        <v>#DIV/0!</v>
      </c>
      <c r="AC226" s="235">
        <f t="shared" si="205"/>
        <v>0</v>
      </c>
      <c r="AD226" s="235">
        <f t="shared" si="206"/>
        <v>0</v>
      </c>
      <c r="AE226" s="279">
        <f t="shared" si="207"/>
        <v>0</v>
      </c>
      <c r="AF226" s="232">
        <f t="shared" si="208"/>
        <v>0</v>
      </c>
      <c r="AG226" s="235">
        <f t="shared" si="209"/>
        <v>0</v>
      </c>
      <c r="AH226" s="269">
        <f t="shared" si="210"/>
        <v>0</v>
      </c>
      <c r="AI226" s="232">
        <f t="shared" si="211"/>
        <v>0</v>
      </c>
      <c r="AJ226" s="235">
        <f t="shared" si="212"/>
        <v>0</v>
      </c>
      <c r="AK226" s="269">
        <f t="shared" si="213"/>
        <v>0</v>
      </c>
      <c r="AL226" s="269">
        <f t="shared" si="179"/>
        <v>0</v>
      </c>
      <c r="AM226" s="281" t="e">
        <f>IF(B226&gt;=mpfo,pos*vvm*Dados!$E$122*(ntudv-SUM(U227:$U$301))-SUM($AM$13:AM225),0)</f>
        <v>#DIV/0!</v>
      </c>
      <c r="AN226" s="269" t="e">
        <f t="shared" si="214"/>
        <v>#DIV/0!</v>
      </c>
      <c r="AO226" s="232" t="e">
        <f t="shared" si="215"/>
        <v>#DIV/0!</v>
      </c>
      <c r="AP226" s="242" t="e">
        <f t="shared" si="216"/>
        <v>#DIV/0!</v>
      </c>
      <c r="AQ226" s="235" t="e">
        <f>IF(AP226+SUM($AQ$12:AQ225)&gt;=0,0,-AP226-SUM($AQ$12:AQ225))</f>
        <v>#DIV/0!</v>
      </c>
      <c r="AR226" s="235">
        <f>IF(SUM($N$13:N225)&gt;=pmo,IF(SUM(N225:$N$501)&gt;(1-pmo),B226,0),0)</f>
        <v>0</v>
      </c>
      <c r="AS226" s="235" t="e">
        <f>IF((SUM($U$13:$U225)/ntudv)&gt;=pmv,IF((SUM($U225:$U$501)/ntudv)&gt;(1-pmv),B226,0),0)</f>
        <v>#DIV/0!</v>
      </c>
      <c r="AT226" s="237" t="e">
        <f>IF(MAX(mmo,mmv)=mmo,IF(B226=AR226,(SUM(N$13:$N225)-pmo)/((1-VLOOKUP(MAX(mmo,mmv)-1,$B$13:$O$501,14))+(VLOOKUP(MAX(mmo,mmv)-1,$B$13:$O$501,14)-pmo)),N225/((1-VLOOKUP(MAX(mmo,mmv)-1,$B$13:$O$501,14)+(VLOOKUP(MAX(mmo,mmv)-1,$B$13:$O$501,14)-pmo)))),N225/(1-VLOOKUP(MAX(mmo,mmv)-2,$B$13:$O$501,14)))</f>
        <v>#DIV/0!</v>
      </c>
      <c r="AU226" s="101" t="e">
        <f t="shared" si="180"/>
        <v>#DIV/0!</v>
      </c>
      <c r="AV226" s="287" t="e">
        <f t="shared" si="181"/>
        <v>#DIV/0!</v>
      </c>
      <c r="AW226" s="235" t="e">
        <f t="shared" si="217"/>
        <v>#DIV/0!</v>
      </c>
      <c r="AX226" s="281">
        <f>IF(B226&gt;mpfo,0,IF(B226=mpfo,(vld-teo*(1+tcfo-incc)^(MAX(mmo,mmv)-mbfo))*-1,IF(SUM($N$13:N225)&gt;=pmo,IF(($V225/ntudv)&gt;=pmv,IF(B226=MAX(mmo,mmv),-teo*(1+tcfo-incc)^(B226-mbfo),0),0),0)))</f>
        <v>0</v>
      </c>
      <c r="AY226" s="292" t="e">
        <f t="shared" si="182"/>
        <v>#DIV/0!</v>
      </c>
      <c r="AZ226" s="235" t="e">
        <f t="shared" si="218"/>
        <v>#DIV/0!</v>
      </c>
      <c r="BA226" s="269" t="e">
        <f t="shared" si="219"/>
        <v>#DIV/0!</v>
      </c>
      <c r="BB226" s="292" t="e">
        <f t="shared" si="220"/>
        <v>#DIV/0!</v>
      </c>
      <c r="BC226" s="238" t="e">
        <f>IF(SUM($BC$13:BC225)&gt;0,0,IF(BB226&gt;0,B226,0))</f>
        <v>#DIV/0!</v>
      </c>
      <c r="BD226" s="292" t="e">
        <f>IF(BB226+SUM($BD$12:BD225)&gt;=0,0,-BB226-SUM($BD$12:BD225))</f>
        <v>#DIV/0!</v>
      </c>
      <c r="BE226" s="235" t="e">
        <f>BB226+SUM($BD$12:BD226)</f>
        <v>#DIV/0!</v>
      </c>
      <c r="BF226" s="292" t="e">
        <f>-MIN(BE226:$BE$501)-SUM(BF$12:$BF225)</f>
        <v>#DIV/0!</v>
      </c>
      <c r="BG226" s="235" t="e">
        <f t="shared" si="185"/>
        <v>#DIV/0!</v>
      </c>
    </row>
    <row r="227" spans="2:59">
      <c r="B227" s="120">
        <v>214</v>
      </c>
      <c r="C227" s="241">
        <f t="shared" si="184"/>
        <v>49192</v>
      </c>
      <c r="D227" s="229">
        <f t="shared" si="186"/>
        <v>9</v>
      </c>
      <c r="E227" s="230" t="str">
        <f t="shared" si="187"/>
        <v>-</v>
      </c>
      <c r="F227" s="231">
        <f t="shared" si="188"/>
        <v>0</v>
      </c>
      <c r="G227" s="231">
        <f t="shared" si="189"/>
        <v>0</v>
      </c>
      <c r="H227" s="231">
        <f t="shared" si="190"/>
        <v>0</v>
      </c>
      <c r="I227" s="268">
        <f t="shared" si="175"/>
        <v>0</v>
      </c>
      <c r="J227" s="269">
        <f t="shared" si="191"/>
        <v>0</v>
      </c>
      <c r="K227" s="269">
        <f t="shared" si="192"/>
        <v>0</v>
      </c>
      <c r="L227" s="269">
        <f t="shared" si="176"/>
        <v>0</v>
      </c>
      <c r="M227" s="269">
        <f t="shared" si="177"/>
        <v>0</v>
      </c>
      <c r="N227" s="233">
        <f>VLOOKUP(B227,Dados!$L$86:$P$90,5)</f>
        <v>0</v>
      </c>
      <c r="O227" s="270">
        <f t="shared" si="193"/>
        <v>0.99999999999999989</v>
      </c>
      <c r="P227" s="269">
        <f t="shared" si="194"/>
        <v>0</v>
      </c>
      <c r="Q227" s="269" t="e">
        <f t="shared" si="195"/>
        <v>#DIV/0!</v>
      </c>
      <c r="R227" s="269">
        <f t="shared" si="196"/>
        <v>0</v>
      </c>
      <c r="S227" s="269" t="e">
        <f t="shared" si="197"/>
        <v>#DIV/0!</v>
      </c>
      <c r="T227" s="269" t="e">
        <f t="shared" si="183"/>
        <v>#DIV/0!</v>
      </c>
      <c r="U227" s="234">
        <f t="shared" si="198"/>
        <v>0</v>
      </c>
      <c r="V227" s="232" t="e">
        <f t="shared" si="199"/>
        <v>#DIV/0!</v>
      </c>
      <c r="W227" s="269" t="e">
        <f t="shared" si="200"/>
        <v>#DIV/0!</v>
      </c>
      <c r="X227" s="235">
        <f t="shared" si="178"/>
        <v>0</v>
      </c>
      <c r="Y227" s="236">
        <f t="shared" si="201"/>
        <v>5</v>
      </c>
      <c r="Z227" s="236" t="e">
        <f t="shared" si="202"/>
        <v>#DIV/0!</v>
      </c>
      <c r="AA227" s="236">
        <f t="shared" si="203"/>
        <v>3</v>
      </c>
      <c r="AB227" s="236" t="e">
        <f t="shared" si="204"/>
        <v>#DIV/0!</v>
      </c>
      <c r="AC227" s="235">
        <f t="shared" si="205"/>
        <v>0</v>
      </c>
      <c r="AD227" s="235">
        <f t="shared" si="206"/>
        <v>0</v>
      </c>
      <c r="AE227" s="279">
        <f t="shared" si="207"/>
        <v>0</v>
      </c>
      <c r="AF227" s="232">
        <f t="shared" si="208"/>
        <v>0</v>
      </c>
      <c r="AG227" s="235">
        <f t="shared" si="209"/>
        <v>0</v>
      </c>
      <c r="AH227" s="269">
        <f t="shared" si="210"/>
        <v>0</v>
      </c>
      <c r="AI227" s="232">
        <f t="shared" si="211"/>
        <v>0</v>
      </c>
      <c r="AJ227" s="235">
        <f t="shared" si="212"/>
        <v>0</v>
      </c>
      <c r="AK227" s="269">
        <f t="shared" si="213"/>
        <v>0</v>
      </c>
      <c r="AL227" s="269">
        <f t="shared" si="179"/>
        <v>0</v>
      </c>
      <c r="AM227" s="281" t="e">
        <f>IF(B227&gt;=mpfo,pos*vvm*Dados!$E$122*(ntudv-SUM(U228:$U$301))-SUM($AM$13:AM226),0)</f>
        <v>#DIV/0!</v>
      </c>
      <c r="AN227" s="269" t="e">
        <f t="shared" si="214"/>
        <v>#DIV/0!</v>
      </c>
      <c r="AO227" s="232" t="e">
        <f t="shared" si="215"/>
        <v>#DIV/0!</v>
      </c>
      <c r="AP227" s="242" t="e">
        <f t="shared" si="216"/>
        <v>#DIV/0!</v>
      </c>
      <c r="AQ227" s="235" t="e">
        <f>IF(AP227+SUM($AQ$12:AQ226)&gt;=0,0,-AP227-SUM($AQ$12:AQ226))</f>
        <v>#DIV/0!</v>
      </c>
      <c r="AR227" s="235">
        <f>IF(SUM($N$13:N226)&gt;=pmo,IF(SUM(N226:$N$501)&gt;(1-pmo),B227,0),0)</f>
        <v>0</v>
      </c>
      <c r="AS227" s="235" t="e">
        <f>IF((SUM($U$13:$U226)/ntudv)&gt;=pmv,IF((SUM($U226:$U$501)/ntudv)&gt;(1-pmv),B227,0),0)</f>
        <v>#DIV/0!</v>
      </c>
      <c r="AT227" s="237" t="e">
        <f>IF(MAX(mmo,mmv)=mmo,IF(B227=AR227,(SUM(N$13:$N226)-pmo)/((1-VLOOKUP(MAX(mmo,mmv)-1,$B$13:$O$501,14))+(VLOOKUP(MAX(mmo,mmv)-1,$B$13:$O$501,14)-pmo)),N226/((1-VLOOKUP(MAX(mmo,mmv)-1,$B$13:$O$501,14)+(VLOOKUP(MAX(mmo,mmv)-1,$B$13:$O$501,14)-pmo)))),N226/(1-VLOOKUP(MAX(mmo,mmv)-2,$B$13:$O$501,14)))</f>
        <v>#DIV/0!</v>
      </c>
      <c r="AU227" s="101" t="e">
        <f t="shared" si="180"/>
        <v>#DIV/0!</v>
      </c>
      <c r="AV227" s="287" t="e">
        <f t="shared" si="181"/>
        <v>#DIV/0!</v>
      </c>
      <c r="AW227" s="235" t="e">
        <f t="shared" si="217"/>
        <v>#DIV/0!</v>
      </c>
      <c r="AX227" s="281">
        <f>IF(B227&gt;mpfo,0,IF(B227=mpfo,(vld-teo*(1+tcfo-incc)^(MAX(mmo,mmv)-mbfo))*-1,IF(SUM($N$13:N226)&gt;=pmo,IF(($V226/ntudv)&gt;=pmv,IF(B227=MAX(mmo,mmv),-teo*(1+tcfo-incc)^(B227-mbfo),0),0),0)))</f>
        <v>0</v>
      </c>
      <c r="AY227" s="292" t="e">
        <f t="shared" si="182"/>
        <v>#DIV/0!</v>
      </c>
      <c r="AZ227" s="235" t="e">
        <f t="shared" si="218"/>
        <v>#DIV/0!</v>
      </c>
      <c r="BA227" s="269" t="e">
        <f t="shared" si="219"/>
        <v>#DIV/0!</v>
      </c>
      <c r="BB227" s="292" t="e">
        <f t="shared" si="220"/>
        <v>#DIV/0!</v>
      </c>
      <c r="BC227" s="238" t="e">
        <f>IF(SUM($BC$13:BC226)&gt;0,0,IF(BB227&gt;0,B227,0))</f>
        <v>#DIV/0!</v>
      </c>
      <c r="BD227" s="292" t="e">
        <f>IF(BB227+SUM($BD$12:BD226)&gt;=0,0,-BB227-SUM($BD$12:BD226))</f>
        <v>#DIV/0!</v>
      </c>
      <c r="BE227" s="235" t="e">
        <f>BB227+SUM($BD$12:BD227)</f>
        <v>#DIV/0!</v>
      </c>
      <c r="BF227" s="292" t="e">
        <f>-MIN(BE227:$BE$501)-SUM(BF$12:$BF226)</f>
        <v>#DIV/0!</v>
      </c>
      <c r="BG227" s="235" t="e">
        <f t="shared" si="185"/>
        <v>#DIV/0!</v>
      </c>
    </row>
    <row r="228" spans="2:59">
      <c r="B228" s="246">
        <v>215</v>
      </c>
      <c r="C228" s="241">
        <f t="shared" si="184"/>
        <v>49222</v>
      </c>
      <c r="D228" s="229">
        <f t="shared" si="186"/>
        <v>10</v>
      </c>
      <c r="E228" s="230" t="str">
        <f t="shared" si="187"/>
        <v>-</v>
      </c>
      <c r="F228" s="231">
        <f t="shared" si="188"/>
        <v>0</v>
      </c>
      <c r="G228" s="231">
        <f t="shared" si="189"/>
        <v>0</v>
      </c>
      <c r="H228" s="231">
        <f t="shared" si="190"/>
        <v>0</v>
      </c>
      <c r="I228" s="268">
        <f t="shared" si="175"/>
        <v>0</v>
      </c>
      <c r="J228" s="269">
        <f t="shared" si="191"/>
        <v>0</v>
      </c>
      <c r="K228" s="269">
        <f t="shared" si="192"/>
        <v>0</v>
      </c>
      <c r="L228" s="269">
        <f t="shared" si="176"/>
        <v>0</v>
      </c>
      <c r="M228" s="269">
        <f t="shared" si="177"/>
        <v>0</v>
      </c>
      <c r="N228" s="233">
        <f>VLOOKUP(B228,Dados!$L$86:$P$90,5)</f>
        <v>0</v>
      </c>
      <c r="O228" s="270">
        <f t="shared" si="193"/>
        <v>0.99999999999999989</v>
      </c>
      <c r="P228" s="269">
        <f t="shared" si="194"/>
        <v>0</v>
      </c>
      <c r="Q228" s="269" t="e">
        <f t="shared" si="195"/>
        <v>#DIV/0!</v>
      </c>
      <c r="R228" s="269">
        <f t="shared" si="196"/>
        <v>0</v>
      </c>
      <c r="S228" s="269" t="e">
        <f t="shared" si="197"/>
        <v>#DIV/0!</v>
      </c>
      <c r="T228" s="269" t="e">
        <f t="shared" si="183"/>
        <v>#DIV/0!</v>
      </c>
      <c r="U228" s="234">
        <f t="shared" si="198"/>
        <v>0</v>
      </c>
      <c r="V228" s="232" t="e">
        <f t="shared" si="199"/>
        <v>#DIV/0!</v>
      </c>
      <c r="W228" s="269" t="e">
        <f t="shared" si="200"/>
        <v>#DIV/0!</v>
      </c>
      <c r="X228" s="235">
        <f t="shared" si="178"/>
        <v>0</v>
      </c>
      <c r="Y228" s="236">
        <f t="shared" si="201"/>
        <v>5</v>
      </c>
      <c r="Z228" s="236" t="e">
        <f t="shared" si="202"/>
        <v>#DIV/0!</v>
      </c>
      <c r="AA228" s="236">
        <f t="shared" si="203"/>
        <v>3</v>
      </c>
      <c r="AB228" s="236" t="e">
        <f t="shared" si="204"/>
        <v>#DIV/0!</v>
      </c>
      <c r="AC228" s="235">
        <f t="shared" si="205"/>
        <v>0</v>
      </c>
      <c r="AD228" s="235">
        <f t="shared" si="206"/>
        <v>0</v>
      </c>
      <c r="AE228" s="279">
        <f t="shared" si="207"/>
        <v>0</v>
      </c>
      <c r="AF228" s="232">
        <f t="shared" si="208"/>
        <v>0</v>
      </c>
      <c r="AG228" s="235">
        <f t="shared" si="209"/>
        <v>0</v>
      </c>
      <c r="AH228" s="269">
        <f t="shared" si="210"/>
        <v>0</v>
      </c>
      <c r="AI228" s="232">
        <f t="shared" si="211"/>
        <v>0</v>
      </c>
      <c r="AJ228" s="235">
        <f t="shared" si="212"/>
        <v>0</v>
      </c>
      <c r="AK228" s="269">
        <f t="shared" si="213"/>
        <v>0</v>
      </c>
      <c r="AL228" s="269">
        <f t="shared" si="179"/>
        <v>0</v>
      </c>
      <c r="AM228" s="281" t="e">
        <f>IF(B228&gt;=mpfo,pos*vvm*Dados!$E$122*(ntudv-SUM(U229:$U$301))-SUM($AM$13:AM227),0)</f>
        <v>#DIV/0!</v>
      </c>
      <c r="AN228" s="269" t="e">
        <f t="shared" si="214"/>
        <v>#DIV/0!</v>
      </c>
      <c r="AO228" s="232" t="e">
        <f t="shared" si="215"/>
        <v>#DIV/0!</v>
      </c>
      <c r="AP228" s="242" t="e">
        <f t="shared" si="216"/>
        <v>#DIV/0!</v>
      </c>
      <c r="AQ228" s="235" t="e">
        <f>IF(AP228+SUM($AQ$12:AQ227)&gt;=0,0,-AP228-SUM($AQ$12:AQ227))</f>
        <v>#DIV/0!</v>
      </c>
      <c r="AR228" s="235">
        <f>IF(SUM($N$13:N227)&gt;=pmo,IF(SUM(N227:$N$501)&gt;(1-pmo),B228,0),0)</f>
        <v>0</v>
      </c>
      <c r="AS228" s="235" t="e">
        <f>IF((SUM($U$13:$U227)/ntudv)&gt;=pmv,IF((SUM($U227:$U$501)/ntudv)&gt;(1-pmv),B228,0),0)</f>
        <v>#DIV/0!</v>
      </c>
      <c r="AT228" s="237" t="e">
        <f>IF(MAX(mmo,mmv)=mmo,IF(B228=AR228,(SUM(N$13:$N227)-pmo)/((1-VLOOKUP(MAX(mmo,mmv)-1,$B$13:$O$501,14))+(VLOOKUP(MAX(mmo,mmv)-1,$B$13:$O$501,14)-pmo)),N227/((1-VLOOKUP(MAX(mmo,mmv)-1,$B$13:$O$501,14)+(VLOOKUP(MAX(mmo,mmv)-1,$B$13:$O$501,14)-pmo)))),N227/(1-VLOOKUP(MAX(mmo,mmv)-2,$B$13:$O$501,14)))</f>
        <v>#DIV/0!</v>
      </c>
      <c r="AU228" s="101" t="e">
        <f t="shared" si="180"/>
        <v>#DIV/0!</v>
      </c>
      <c r="AV228" s="287" t="e">
        <f t="shared" si="181"/>
        <v>#DIV/0!</v>
      </c>
      <c r="AW228" s="235" t="e">
        <f t="shared" si="217"/>
        <v>#DIV/0!</v>
      </c>
      <c r="AX228" s="281">
        <f>IF(B228&gt;mpfo,0,IF(B228=mpfo,(vld-teo*(1+tcfo-incc)^(MAX(mmo,mmv)-mbfo))*-1,IF(SUM($N$13:N227)&gt;=pmo,IF(($V227/ntudv)&gt;=pmv,IF(B228=MAX(mmo,mmv),-teo*(1+tcfo-incc)^(B228-mbfo),0),0),0)))</f>
        <v>0</v>
      </c>
      <c r="AY228" s="292" t="e">
        <f t="shared" si="182"/>
        <v>#DIV/0!</v>
      </c>
      <c r="AZ228" s="235" t="e">
        <f t="shared" si="218"/>
        <v>#DIV/0!</v>
      </c>
      <c r="BA228" s="269" t="e">
        <f t="shared" si="219"/>
        <v>#DIV/0!</v>
      </c>
      <c r="BB228" s="292" t="e">
        <f t="shared" si="220"/>
        <v>#DIV/0!</v>
      </c>
      <c r="BC228" s="238" t="e">
        <f>IF(SUM($BC$13:BC227)&gt;0,0,IF(BB228&gt;0,B228,0))</f>
        <v>#DIV/0!</v>
      </c>
      <c r="BD228" s="292" t="e">
        <f>IF(BB228+SUM($BD$12:BD227)&gt;=0,0,-BB228-SUM($BD$12:BD227))</f>
        <v>#DIV/0!</v>
      </c>
      <c r="BE228" s="235" t="e">
        <f>BB228+SUM($BD$12:BD228)</f>
        <v>#DIV/0!</v>
      </c>
      <c r="BF228" s="292" t="e">
        <f>-MIN(BE228:$BE$501)-SUM(BF$12:$BF227)</f>
        <v>#DIV/0!</v>
      </c>
      <c r="BG228" s="235" t="e">
        <f t="shared" si="185"/>
        <v>#DIV/0!</v>
      </c>
    </row>
    <row r="229" spans="2:59">
      <c r="B229" s="120">
        <v>216</v>
      </c>
      <c r="C229" s="241">
        <f t="shared" si="184"/>
        <v>49253</v>
      </c>
      <c r="D229" s="229">
        <f t="shared" si="186"/>
        <v>11</v>
      </c>
      <c r="E229" s="230" t="str">
        <f t="shared" si="187"/>
        <v>-</v>
      </c>
      <c r="F229" s="231">
        <f t="shared" si="188"/>
        <v>0</v>
      </c>
      <c r="G229" s="231">
        <f t="shared" si="189"/>
        <v>0</v>
      </c>
      <c r="H229" s="231">
        <f t="shared" si="190"/>
        <v>0</v>
      </c>
      <c r="I229" s="268">
        <f t="shared" si="175"/>
        <v>0</v>
      </c>
      <c r="J229" s="269">
        <f t="shared" si="191"/>
        <v>0</v>
      </c>
      <c r="K229" s="269">
        <f t="shared" si="192"/>
        <v>0</v>
      </c>
      <c r="L229" s="269">
        <f t="shared" si="176"/>
        <v>0</v>
      </c>
      <c r="M229" s="269">
        <f t="shared" si="177"/>
        <v>0</v>
      </c>
      <c r="N229" s="233">
        <f>VLOOKUP(B229,Dados!$L$86:$P$90,5)</f>
        <v>0</v>
      </c>
      <c r="O229" s="270">
        <f t="shared" si="193"/>
        <v>0.99999999999999989</v>
      </c>
      <c r="P229" s="269">
        <f t="shared" si="194"/>
        <v>0</v>
      </c>
      <c r="Q229" s="269" t="e">
        <f t="shared" si="195"/>
        <v>#DIV/0!</v>
      </c>
      <c r="R229" s="269">
        <f t="shared" si="196"/>
        <v>0</v>
      </c>
      <c r="S229" s="269" t="e">
        <f t="shared" si="197"/>
        <v>#DIV/0!</v>
      </c>
      <c r="T229" s="269" t="e">
        <f t="shared" si="183"/>
        <v>#DIV/0!</v>
      </c>
      <c r="U229" s="234">
        <f t="shared" si="198"/>
        <v>0</v>
      </c>
      <c r="V229" s="232" t="e">
        <f t="shared" si="199"/>
        <v>#DIV/0!</v>
      </c>
      <c r="W229" s="269" t="e">
        <f t="shared" si="200"/>
        <v>#DIV/0!</v>
      </c>
      <c r="X229" s="235">
        <f t="shared" si="178"/>
        <v>0</v>
      </c>
      <c r="Y229" s="236">
        <f t="shared" si="201"/>
        <v>5</v>
      </c>
      <c r="Z229" s="236" t="e">
        <f t="shared" si="202"/>
        <v>#DIV/0!</v>
      </c>
      <c r="AA229" s="236">
        <f t="shared" si="203"/>
        <v>3</v>
      </c>
      <c r="AB229" s="236" t="e">
        <f t="shared" si="204"/>
        <v>#DIV/0!</v>
      </c>
      <c r="AC229" s="235">
        <f t="shared" si="205"/>
        <v>0</v>
      </c>
      <c r="AD229" s="235">
        <f t="shared" si="206"/>
        <v>0</v>
      </c>
      <c r="AE229" s="279">
        <f t="shared" si="207"/>
        <v>0</v>
      </c>
      <c r="AF229" s="232">
        <f t="shared" si="208"/>
        <v>0</v>
      </c>
      <c r="AG229" s="235">
        <f t="shared" si="209"/>
        <v>0</v>
      </c>
      <c r="AH229" s="269">
        <f t="shared" si="210"/>
        <v>0</v>
      </c>
      <c r="AI229" s="232">
        <f t="shared" si="211"/>
        <v>0</v>
      </c>
      <c r="AJ229" s="235">
        <f t="shared" si="212"/>
        <v>0</v>
      </c>
      <c r="AK229" s="269">
        <f t="shared" si="213"/>
        <v>0</v>
      </c>
      <c r="AL229" s="269">
        <f t="shared" si="179"/>
        <v>0</v>
      </c>
      <c r="AM229" s="281" t="e">
        <f>IF(B229&gt;=mpfo,pos*vvm*Dados!$E$122*(ntudv-SUM(U230:$U$301))-SUM($AM$13:AM228),0)</f>
        <v>#DIV/0!</v>
      </c>
      <c r="AN229" s="269" t="e">
        <f t="shared" si="214"/>
        <v>#DIV/0!</v>
      </c>
      <c r="AO229" s="232" t="e">
        <f t="shared" si="215"/>
        <v>#DIV/0!</v>
      </c>
      <c r="AP229" s="242" t="e">
        <f t="shared" si="216"/>
        <v>#DIV/0!</v>
      </c>
      <c r="AQ229" s="235" t="e">
        <f>IF(AP229+SUM($AQ$12:AQ228)&gt;=0,0,-AP229-SUM($AQ$12:AQ228))</f>
        <v>#DIV/0!</v>
      </c>
      <c r="AR229" s="235">
        <f>IF(SUM($N$13:N228)&gt;=pmo,IF(SUM(N228:$N$501)&gt;(1-pmo),B229,0),0)</f>
        <v>0</v>
      </c>
      <c r="AS229" s="235" t="e">
        <f>IF((SUM($U$13:$U228)/ntudv)&gt;=pmv,IF((SUM($U228:$U$501)/ntudv)&gt;(1-pmv),B229,0),0)</f>
        <v>#DIV/0!</v>
      </c>
      <c r="AT229" s="237" t="e">
        <f>IF(MAX(mmo,mmv)=mmo,IF(B229=AR229,(SUM(N$13:$N228)-pmo)/((1-VLOOKUP(MAX(mmo,mmv)-1,$B$13:$O$501,14))+(VLOOKUP(MAX(mmo,mmv)-1,$B$13:$O$501,14)-pmo)),N228/((1-VLOOKUP(MAX(mmo,mmv)-1,$B$13:$O$501,14)+(VLOOKUP(MAX(mmo,mmv)-1,$B$13:$O$501,14)-pmo)))),N228/(1-VLOOKUP(MAX(mmo,mmv)-2,$B$13:$O$501,14)))</f>
        <v>#DIV/0!</v>
      </c>
      <c r="AU229" s="101" t="e">
        <f t="shared" si="180"/>
        <v>#DIV/0!</v>
      </c>
      <c r="AV229" s="287" t="e">
        <f t="shared" si="181"/>
        <v>#DIV/0!</v>
      </c>
      <c r="AW229" s="235" t="e">
        <f t="shared" si="217"/>
        <v>#DIV/0!</v>
      </c>
      <c r="AX229" s="281">
        <f>IF(B229&gt;mpfo,0,IF(B229=mpfo,(vld-teo*(1+tcfo-incc)^(MAX(mmo,mmv)-mbfo))*-1,IF(SUM($N$13:N228)&gt;=pmo,IF(($V228/ntudv)&gt;=pmv,IF(B229=MAX(mmo,mmv),-teo*(1+tcfo-incc)^(B229-mbfo),0),0),0)))</f>
        <v>0</v>
      </c>
      <c r="AY229" s="292" t="e">
        <f t="shared" si="182"/>
        <v>#DIV/0!</v>
      </c>
      <c r="AZ229" s="235" t="e">
        <f t="shared" si="218"/>
        <v>#DIV/0!</v>
      </c>
      <c r="BA229" s="269" t="e">
        <f t="shared" si="219"/>
        <v>#DIV/0!</v>
      </c>
      <c r="BB229" s="292" t="e">
        <f t="shared" si="220"/>
        <v>#DIV/0!</v>
      </c>
      <c r="BC229" s="238" t="e">
        <f>IF(SUM($BC$13:BC228)&gt;0,0,IF(BB229&gt;0,B229,0))</f>
        <v>#DIV/0!</v>
      </c>
      <c r="BD229" s="292" t="e">
        <f>IF(BB229+SUM($BD$12:BD228)&gt;=0,0,-BB229-SUM($BD$12:BD228))</f>
        <v>#DIV/0!</v>
      </c>
      <c r="BE229" s="235" t="e">
        <f>BB229+SUM($BD$12:BD229)</f>
        <v>#DIV/0!</v>
      </c>
      <c r="BF229" s="292" t="e">
        <f>-MIN(BE229:$BE$501)-SUM(BF$12:$BF228)</f>
        <v>#DIV/0!</v>
      </c>
      <c r="BG229" s="235" t="e">
        <f t="shared" si="185"/>
        <v>#DIV/0!</v>
      </c>
    </row>
    <row r="230" spans="2:59">
      <c r="B230" s="246">
        <v>217</v>
      </c>
      <c r="C230" s="241">
        <f t="shared" si="184"/>
        <v>49283</v>
      </c>
      <c r="D230" s="229">
        <f t="shared" si="186"/>
        <v>12</v>
      </c>
      <c r="E230" s="230" t="str">
        <f t="shared" si="187"/>
        <v>-</v>
      </c>
      <c r="F230" s="231">
        <f t="shared" si="188"/>
        <v>0</v>
      </c>
      <c r="G230" s="231">
        <f t="shared" si="189"/>
        <v>0</v>
      </c>
      <c r="H230" s="231">
        <f t="shared" si="190"/>
        <v>0</v>
      </c>
      <c r="I230" s="268">
        <f t="shared" si="175"/>
        <v>0</v>
      </c>
      <c r="J230" s="269">
        <f t="shared" si="191"/>
        <v>0</v>
      </c>
      <c r="K230" s="269">
        <f t="shared" si="192"/>
        <v>0</v>
      </c>
      <c r="L230" s="269">
        <f t="shared" si="176"/>
        <v>0</v>
      </c>
      <c r="M230" s="269">
        <f t="shared" si="177"/>
        <v>0</v>
      </c>
      <c r="N230" s="233">
        <f>VLOOKUP(B230,Dados!$L$86:$P$90,5)</f>
        <v>0</v>
      </c>
      <c r="O230" s="270">
        <f t="shared" si="193"/>
        <v>0.99999999999999989</v>
      </c>
      <c r="P230" s="269">
        <f t="shared" si="194"/>
        <v>0</v>
      </c>
      <c r="Q230" s="269" t="e">
        <f t="shared" si="195"/>
        <v>#DIV/0!</v>
      </c>
      <c r="R230" s="269">
        <f t="shared" si="196"/>
        <v>0</v>
      </c>
      <c r="S230" s="269" t="e">
        <f t="shared" si="197"/>
        <v>#DIV/0!</v>
      </c>
      <c r="T230" s="269" t="e">
        <f t="shared" si="183"/>
        <v>#DIV/0!</v>
      </c>
      <c r="U230" s="234">
        <f t="shared" si="198"/>
        <v>0</v>
      </c>
      <c r="V230" s="232" t="e">
        <f t="shared" si="199"/>
        <v>#DIV/0!</v>
      </c>
      <c r="W230" s="269" t="e">
        <f t="shared" si="200"/>
        <v>#DIV/0!</v>
      </c>
      <c r="X230" s="235">
        <f t="shared" si="178"/>
        <v>0</v>
      </c>
      <c r="Y230" s="236">
        <f t="shared" si="201"/>
        <v>5</v>
      </c>
      <c r="Z230" s="236" t="e">
        <f t="shared" si="202"/>
        <v>#DIV/0!</v>
      </c>
      <c r="AA230" s="236">
        <f t="shared" si="203"/>
        <v>3</v>
      </c>
      <c r="AB230" s="236" t="e">
        <f t="shared" si="204"/>
        <v>#DIV/0!</v>
      </c>
      <c r="AC230" s="235">
        <f t="shared" si="205"/>
        <v>0</v>
      </c>
      <c r="AD230" s="235">
        <f t="shared" si="206"/>
        <v>0</v>
      </c>
      <c r="AE230" s="279">
        <f t="shared" si="207"/>
        <v>0</v>
      </c>
      <c r="AF230" s="232">
        <f t="shared" si="208"/>
        <v>1</v>
      </c>
      <c r="AG230" s="235">
        <f t="shared" si="209"/>
        <v>0</v>
      </c>
      <c r="AH230" s="269">
        <f t="shared" si="210"/>
        <v>0</v>
      </c>
      <c r="AI230" s="232">
        <f t="shared" si="211"/>
        <v>1</v>
      </c>
      <c r="AJ230" s="235">
        <f t="shared" si="212"/>
        <v>0</v>
      </c>
      <c r="AK230" s="269">
        <f t="shared" si="213"/>
        <v>0</v>
      </c>
      <c r="AL230" s="269">
        <f t="shared" si="179"/>
        <v>0</v>
      </c>
      <c r="AM230" s="281" t="e">
        <f>IF(B230&gt;=mpfo,pos*vvm*Dados!$E$122*(ntudv-SUM(U231:$U$301))-SUM($AM$13:AM229),0)</f>
        <v>#DIV/0!</v>
      </c>
      <c r="AN230" s="269" t="e">
        <f t="shared" si="214"/>
        <v>#DIV/0!</v>
      </c>
      <c r="AO230" s="232" t="e">
        <f t="shared" si="215"/>
        <v>#DIV/0!</v>
      </c>
      <c r="AP230" s="242" t="e">
        <f t="shared" si="216"/>
        <v>#DIV/0!</v>
      </c>
      <c r="AQ230" s="235" t="e">
        <f>IF(AP230+SUM($AQ$12:AQ229)&gt;=0,0,-AP230-SUM($AQ$12:AQ229))</f>
        <v>#DIV/0!</v>
      </c>
      <c r="AR230" s="235">
        <f>IF(SUM($N$13:N229)&gt;=pmo,IF(SUM(N229:$N$501)&gt;(1-pmo),B230,0),0)</f>
        <v>0</v>
      </c>
      <c r="AS230" s="235" t="e">
        <f>IF((SUM($U$13:$U229)/ntudv)&gt;=pmv,IF((SUM($U229:$U$501)/ntudv)&gt;(1-pmv),B230,0),0)</f>
        <v>#DIV/0!</v>
      </c>
      <c r="AT230" s="237" t="e">
        <f>IF(MAX(mmo,mmv)=mmo,IF(B230=AR230,(SUM(N$13:$N229)-pmo)/((1-VLOOKUP(MAX(mmo,mmv)-1,$B$13:$O$501,14))+(VLOOKUP(MAX(mmo,mmv)-1,$B$13:$O$501,14)-pmo)),N229/((1-VLOOKUP(MAX(mmo,mmv)-1,$B$13:$O$501,14)+(VLOOKUP(MAX(mmo,mmv)-1,$B$13:$O$501,14)-pmo)))),N229/(1-VLOOKUP(MAX(mmo,mmv)-2,$B$13:$O$501,14)))</f>
        <v>#DIV/0!</v>
      </c>
      <c r="AU230" s="101" t="e">
        <f t="shared" si="180"/>
        <v>#DIV/0!</v>
      </c>
      <c r="AV230" s="287" t="e">
        <f t="shared" si="181"/>
        <v>#DIV/0!</v>
      </c>
      <c r="AW230" s="235" t="e">
        <f t="shared" si="217"/>
        <v>#DIV/0!</v>
      </c>
      <c r="AX230" s="281">
        <f>IF(B230&gt;mpfo,0,IF(B230=mpfo,(vld-teo*(1+tcfo-incc)^(MAX(mmo,mmv)-mbfo))*-1,IF(SUM($N$13:N229)&gt;=pmo,IF(($V229/ntudv)&gt;=pmv,IF(B230=MAX(mmo,mmv),-teo*(1+tcfo-incc)^(B230-mbfo),0),0),0)))</f>
        <v>0</v>
      </c>
      <c r="AY230" s="292" t="e">
        <f t="shared" si="182"/>
        <v>#DIV/0!</v>
      </c>
      <c r="AZ230" s="235" t="e">
        <f t="shared" si="218"/>
        <v>#DIV/0!</v>
      </c>
      <c r="BA230" s="269" t="e">
        <f t="shared" si="219"/>
        <v>#DIV/0!</v>
      </c>
      <c r="BB230" s="292" t="e">
        <f t="shared" si="220"/>
        <v>#DIV/0!</v>
      </c>
      <c r="BC230" s="238" t="e">
        <f>IF(SUM($BC$13:BC229)&gt;0,0,IF(BB230&gt;0,B230,0))</f>
        <v>#DIV/0!</v>
      </c>
      <c r="BD230" s="292" t="e">
        <f>IF(BB230+SUM($BD$12:BD229)&gt;=0,0,-BB230-SUM($BD$12:BD229))</f>
        <v>#DIV/0!</v>
      </c>
      <c r="BE230" s="235" t="e">
        <f>BB230+SUM($BD$12:BD230)</f>
        <v>#DIV/0!</v>
      </c>
      <c r="BF230" s="292" t="e">
        <f>-MIN(BE230:$BE$501)-SUM(BF$12:$BF229)</f>
        <v>#DIV/0!</v>
      </c>
      <c r="BG230" s="235" t="e">
        <f t="shared" si="185"/>
        <v>#DIV/0!</v>
      </c>
    </row>
    <row r="231" spans="2:59">
      <c r="B231" s="120">
        <v>218</v>
      </c>
      <c r="C231" s="241">
        <f t="shared" si="184"/>
        <v>49314</v>
      </c>
      <c r="D231" s="229">
        <f t="shared" si="186"/>
        <v>1</v>
      </c>
      <c r="E231" s="230" t="str">
        <f t="shared" si="187"/>
        <v>-</v>
      </c>
      <c r="F231" s="231">
        <f t="shared" si="188"/>
        <v>0</v>
      </c>
      <c r="G231" s="231">
        <f t="shared" si="189"/>
        <v>0</v>
      </c>
      <c r="H231" s="231">
        <f t="shared" si="190"/>
        <v>0</v>
      </c>
      <c r="I231" s="268">
        <f t="shared" si="175"/>
        <v>0</v>
      </c>
      <c r="J231" s="269">
        <f t="shared" si="191"/>
        <v>0</v>
      </c>
      <c r="K231" s="269">
        <f t="shared" si="192"/>
        <v>0</v>
      </c>
      <c r="L231" s="269">
        <f t="shared" si="176"/>
        <v>0</v>
      </c>
      <c r="M231" s="269">
        <f t="shared" si="177"/>
        <v>0</v>
      </c>
      <c r="N231" s="233">
        <f>VLOOKUP(B231,Dados!$L$86:$P$90,5)</f>
        <v>0</v>
      </c>
      <c r="O231" s="270">
        <f t="shared" si="193"/>
        <v>0.99999999999999989</v>
      </c>
      <c r="P231" s="269">
        <f t="shared" si="194"/>
        <v>0</v>
      </c>
      <c r="Q231" s="269" t="e">
        <f t="shared" si="195"/>
        <v>#DIV/0!</v>
      </c>
      <c r="R231" s="269">
        <f t="shared" si="196"/>
        <v>0</v>
      </c>
      <c r="S231" s="269" t="e">
        <f t="shared" si="197"/>
        <v>#DIV/0!</v>
      </c>
      <c r="T231" s="269" t="e">
        <f t="shared" si="183"/>
        <v>#DIV/0!</v>
      </c>
      <c r="U231" s="234">
        <f t="shared" si="198"/>
        <v>0</v>
      </c>
      <c r="V231" s="232" t="e">
        <f t="shared" si="199"/>
        <v>#DIV/0!</v>
      </c>
      <c r="W231" s="269" t="e">
        <f t="shared" si="200"/>
        <v>#DIV/0!</v>
      </c>
      <c r="X231" s="235">
        <f t="shared" si="178"/>
        <v>0</v>
      </c>
      <c r="Y231" s="236">
        <f t="shared" si="201"/>
        <v>5</v>
      </c>
      <c r="Z231" s="236" t="e">
        <f t="shared" si="202"/>
        <v>#DIV/0!</v>
      </c>
      <c r="AA231" s="236">
        <f t="shared" si="203"/>
        <v>3</v>
      </c>
      <c r="AB231" s="236" t="e">
        <f t="shared" si="204"/>
        <v>#DIV/0!</v>
      </c>
      <c r="AC231" s="235">
        <f t="shared" si="205"/>
        <v>0</v>
      </c>
      <c r="AD231" s="235">
        <f t="shared" si="206"/>
        <v>0</v>
      </c>
      <c r="AE231" s="279">
        <f t="shared" si="207"/>
        <v>0</v>
      </c>
      <c r="AF231" s="232">
        <f t="shared" si="208"/>
        <v>0</v>
      </c>
      <c r="AG231" s="235">
        <f t="shared" si="209"/>
        <v>0</v>
      </c>
      <c r="AH231" s="269">
        <f t="shared" si="210"/>
        <v>0</v>
      </c>
      <c r="AI231" s="232">
        <f t="shared" si="211"/>
        <v>0</v>
      </c>
      <c r="AJ231" s="235">
        <f t="shared" si="212"/>
        <v>0</v>
      </c>
      <c r="AK231" s="269">
        <f t="shared" si="213"/>
        <v>0</v>
      </c>
      <c r="AL231" s="269">
        <f t="shared" si="179"/>
        <v>0</v>
      </c>
      <c r="AM231" s="281" t="e">
        <f>IF(B231&gt;=mpfo,pos*vvm*Dados!$E$122*(ntudv-SUM(U232:$U$301))-SUM($AM$13:AM230),0)</f>
        <v>#DIV/0!</v>
      </c>
      <c r="AN231" s="269" t="e">
        <f t="shared" si="214"/>
        <v>#DIV/0!</v>
      </c>
      <c r="AO231" s="232" t="e">
        <f t="shared" si="215"/>
        <v>#DIV/0!</v>
      </c>
      <c r="AP231" s="242" t="e">
        <f t="shared" si="216"/>
        <v>#DIV/0!</v>
      </c>
      <c r="AQ231" s="235" t="e">
        <f>IF(AP231+SUM($AQ$12:AQ230)&gt;=0,0,-AP231-SUM($AQ$12:AQ230))</f>
        <v>#DIV/0!</v>
      </c>
      <c r="AR231" s="235">
        <f>IF(SUM($N$13:N230)&gt;=pmo,IF(SUM(N230:$N$501)&gt;(1-pmo),B231,0),0)</f>
        <v>0</v>
      </c>
      <c r="AS231" s="235" t="e">
        <f>IF((SUM($U$13:$U230)/ntudv)&gt;=pmv,IF((SUM($U230:$U$501)/ntudv)&gt;(1-pmv),B231,0),0)</f>
        <v>#DIV/0!</v>
      </c>
      <c r="AT231" s="237" t="e">
        <f>IF(MAX(mmo,mmv)=mmo,IF(B231=AR231,(SUM(N$13:$N230)-pmo)/((1-VLOOKUP(MAX(mmo,mmv)-1,$B$13:$O$501,14))+(VLOOKUP(MAX(mmo,mmv)-1,$B$13:$O$501,14)-pmo)),N230/((1-VLOOKUP(MAX(mmo,mmv)-1,$B$13:$O$501,14)+(VLOOKUP(MAX(mmo,mmv)-1,$B$13:$O$501,14)-pmo)))),N230/(1-VLOOKUP(MAX(mmo,mmv)-2,$B$13:$O$501,14)))</f>
        <v>#DIV/0!</v>
      </c>
      <c r="AU231" s="101" t="e">
        <f t="shared" si="180"/>
        <v>#DIV/0!</v>
      </c>
      <c r="AV231" s="287" t="e">
        <f t="shared" si="181"/>
        <v>#DIV/0!</v>
      </c>
      <c r="AW231" s="235" t="e">
        <f t="shared" si="217"/>
        <v>#DIV/0!</v>
      </c>
      <c r="AX231" s="281">
        <f>IF(B231&gt;mpfo,0,IF(B231=mpfo,(vld-teo*(1+tcfo-incc)^(MAX(mmo,mmv)-mbfo))*-1,IF(SUM($N$13:N230)&gt;=pmo,IF(($V230/ntudv)&gt;=pmv,IF(B231=MAX(mmo,mmv),-teo*(1+tcfo-incc)^(B231-mbfo),0),0),0)))</f>
        <v>0</v>
      </c>
      <c r="AY231" s="292" t="e">
        <f t="shared" si="182"/>
        <v>#DIV/0!</v>
      </c>
      <c r="AZ231" s="235" t="e">
        <f t="shared" si="218"/>
        <v>#DIV/0!</v>
      </c>
      <c r="BA231" s="269" t="e">
        <f t="shared" si="219"/>
        <v>#DIV/0!</v>
      </c>
      <c r="BB231" s="292" t="e">
        <f t="shared" si="220"/>
        <v>#DIV/0!</v>
      </c>
      <c r="BC231" s="238" t="e">
        <f>IF(SUM($BC$13:BC230)&gt;0,0,IF(BB231&gt;0,B231,0))</f>
        <v>#DIV/0!</v>
      </c>
      <c r="BD231" s="292" t="e">
        <f>IF(BB231+SUM($BD$12:BD230)&gt;=0,0,-BB231-SUM($BD$12:BD230))</f>
        <v>#DIV/0!</v>
      </c>
      <c r="BE231" s="235" t="e">
        <f>BB231+SUM($BD$12:BD231)</f>
        <v>#DIV/0!</v>
      </c>
      <c r="BF231" s="292" t="e">
        <f>-MIN(BE231:$BE$501)-SUM(BF$12:$BF230)</f>
        <v>#DIV/0!</v>
      </c>
      <c r="BG231" s="235" t="e">
        <f t="shared" si="185"/>
        <v>#DIV/0!</v>
      </c>
    </row>
    <row r="232" spans="2:59">
      <c r="B232" s="246">
        <v>219</v>
      </c>
      <c r="C232" s="241">
        <f t="shared" si="184"/>
        <v>49345</v>
      </c>
      <c r="D232" s="229">
        <f t="shared" si="186"/>
        <v>2</v>
      </c>
      <c r="E232" s="230" t="str">
        <f t="shared" si="187"/>
        <v>-</v>
      </c>
      <c r="F232" s="231">
        <f t="shared" si="188"/>
        <v>0</v>
      </c>
      <c r="G232" s="231">
        <f t="shared" si="189"/>
        <v>0</v>
      </c>
      <c r="H232" s="231">
        <f t="shared" si="190"/>
        <v>0</v>
      </c>
      <c r="I232" s="268">
        <f t="shared" si="175"/>
        <v>0</v>
      </c>
      <c r="J232" s="269">
        <f t="shared" si="191"/>
        <v>0</v>
      </c>
      <c r="K232" s="269">
        <f t="shared" si="192"/>
        <v>0</v>
      </c>
      <c r="L232" s="269">
        <f t="shared" si="176"/>
        <v>0</v>
      </c>
      <c r="M232" s="269">
        <f t="shared" si="177"/>
        <v>0</v>
      </c>
      <c r="N232" s="233">
        <f>VLOOKUP(B232,Dados!$L$86:$P$90,5)</f>
        <v>0</v>
      </c>
      <c r="O232" s="270">
        <f t="shared" si="193"/>
        <v>0.99999999999999989</v>
      </c>
      <c r="P232" s="269">
        <f t="shared" si="194"/>
        <v>0</v>
      </c>
      <c r="Q232" s="269" t="e">
        <f t="shared" si="195"/>
        <v>#DIV/0!</v>
      </c>
      <c r="R232" s="269">
        <f t="shared" si="196"/>
        <v>0</v>
      </c>
      <c r="S232" s="269" t="e">
        <f t="shared" si="197"/>
        <v>#DIV/0!</v>
      </c>
      <c r="T232" s="269" t="e">
        <f t="shared" si="183"/>
        <v>#DIV/0!</v>
      </c>
      <c r="U232" s="234">
        <f t="shared" si="198"/>
        <v>0</v>
      </c>
      <c r="V232" s="232" t="e">
        <f t="shared" si="199"/>
        <v>#DIV/0!</v>
      </c>
      <c r="W232" s="269" t="e">
        <f t="shared" si="200"/>
        <v>#DIV/0!</v>
      </c>
      <c r="X232" s="235">
        <f t="shared" si="178"/>
        <v>0</v>
      </c>
      <c r="Y232" s="236">
        <f t="shared" si="201"/>
        <v>5</v>
      </c>
      <c r="Z232" s="236" t="e">
        <f t="shared" si="202"/>
        <v>#DIV/0!</v>
      </c>
      <c r="AA232" s="236">
        <f t="shared" si="203"/>
        <v>3</v>
      </c>
      <c r="AB232" s="236" t="e">
        <f t="shared" si="204"/>
        <v>#DIV/0!</v>
      </c>
      <c r="AC232" s="235">
        <f t="shared" si="205"/>
        <v>0</v>
      </c>
      <c r="AD232" s="235">
        <f t="shared" si="206"/>
        <v>0</v>
      </c>
      <c r="AE232" s="279">
        <f t="shared" si="207"/>
        <v>0</v>
      </c>
      <c r="AF232" s="232">
        <f t="shared" si="208"/>
        <v>0</v>
      </c>
      <c r="AG232" s="235">
        <f t="shared" si="209"/>
        <v>0</v>
      </c>
      <c r="AH232" s="269">
        <f t="shared" si="210"/>
        <v>0</v>
      </c>
      <c r="AI232" s="232">
        <f t="shared" si="211"/>
        <v>0</v>
      </c>
      <c r="AJ232" s="235">
        <f t="shared" si="212"/>
        <v>0</v>
      </c>
      <c r="AK232" s="269">
        <f t="shared" si="213"/>
        <v>0</v>
      </c>
      <c r="AL232" s="269">
        <f t="shared" si="179"/>
        <v>0</v>
      </c>
      <c r="AM232" s="281" t="e">
        <f>IF(B232&gt;=mpfo,pos*vvm*Dados!$E$122*(ntudv-SUM(U233:$U$301))-SUM($AM$13:AM231),0)</f>
        <v>#DIV/0!</v>
      </c>
      <c r="AN232" s="269" t="e">
        <f t="shared" si="214"/>
        <v>#DIV/0!</v>
      </c>
      <c r="AO232" s="232" t="e">
        <f t="shared" si="215"/>
        <v>#DIV/0!</v>
      </c>
      <c r="AP232" s="242" t="e">
        <f t="shared" si="216"/>
        <v>#DIV/0!</v>
      </c>
      <c r="AQ232" s="235" t="e">
        <f>IF(AP232+SUM($AQ$12:AQ231)&gt;=0,0,-AP232-SUM($AQ$12:AQ231))</f>
        <v>#DIV/0!</v>
      </c>
      <c r="AR232" s="235">
        <f>IF(SUM($N$13:N231)&gt;=pmo,IF(SUM(N231:$N$501)&gt;(1-pmo),B232,0),0)</f>
        <v>0</v>
      </c>
      <c r="AS232" s="235" t="e">
        <f>IF((SUM($U$13:$U231)/ntudv)&gt;=pmv,IF((SUM($U231:$U$501)/ntudv)&gt;(1-pmv),B232,0),0)</f>
        <v>#DIV/0!</v>
      </c>
      <c r="AT232" s="237" t="e">
        <f>IF(MAX(mmo,mmv)=mmo,IF(B232=AR232,(SUM(N$13:$N231)-pmo)/((1-VLOOKUP(MAX(mmo,mmv)-1,$B$13:$O$501,14))+(VLOOKUP(MAX(mmo,mmv)-1,$B$13:$O$501,14)-pmo)),N231/((1-VLOOKUP(MAX(mmo,mmv)-1,$B$13:$O$501,14)+(VLOOKUP(MAX(mmo,mmv)-1,$B$13:$O$501,14)-pmo)))),N231/(1-VLOOKUP(MAX(mmo,mmv)-2,$B$13:$O$501,14)))</f>
        <v>#DIV/0!</v>
      </c>
      <c r="AU232" s="101" t="e">
        <f t="shared" si="180"/>
        <v>#DIV/0!</v>
      </c>
      <c r="AV232" s="287" t="e">
        <f t="shared" si="181"/>
        <v>#DIV/0!</v>
      </c>
      <c r="AW232" s="235" t="e">
        <f t="shared" si="217"/>
        <v>#DIV/0!</v>
      </c>
      <c r="AX232" s="281">
        <f>IF(B232&gt;mpfo,0,IF(B232=mpfo,(vld-teo*(1+tcfo-incc)^(MAX(mmo,mmv)-mbfo))*-1,IF(SUM($N$13:N231)&gt;=pmo,IF(($V231/ntudv)&gt;=pmv,IF(B232=MAX(mmo,mmv),-teo*(1+tcfo-incc)^(B232-mbfo),0),0),0)))</f>
        <v>0</v>
      </c>
      <c r="AY232" s="292" t="e">
        <f t="shared" si="182"/>
        <v>#DIV/0!</v>
      </c>
      <c r="AZ232" s="235" t="e">
        <f t="shared" si="218"/>
        <v>#DIV/0!</v>
      </c>
      <c r="BA232" s="269" t="e">
        <f t="shared" si="219"/>
        <v>#DIV/0!</v>
      </c>
      <c r="BB232" s="292" t="e">
        <f t="shared" si="220"/>
        <v>#DIV/0!</v>
      </c>
      <c r="BC232" s="238" t="e">
        <f>IF(SUM($BC$13:BC231)&gt;0,0,IF(BB232&gt;0,B232,0))</f>
        <v>#DIV/0!</v>
      </c>
      <c r="BD232" s="292" t="e">
        <f>IF(BB232+SUM($BD$12:BD231)&gt;=0,0,-BB232-SUM($BD$12:BD231))</f>
        <v>#DIV/0!</v>
      </c>
      <c r="BE232" s="235" t="e">
        <f>BB232+SUM($BD$12:BD232)</f>
        <v>#DIV/0!</v>
      </c>
      <c r="BF232" s="292" t="e">
        <f>-MIN(BE232:$BE$501)-SUM(BF$12:$BF231)</f>
        <v>#DIV/0!</v>
      </c>
      <c r="BG232" s="235" t="e">
        <f t="shared" si="185"/>
        <v>#DIV/0!</v>
      </c>
    </row>
    <row r="233" spans="2:59">
      <c r="B233" s="120">
        <v>220</v>
      </c>
      <c r="C233" s="241">
        <f t="shared" si="184"/>
        <v>49373</v>
      </c>
      <c r="D233" s="229">
        <f t="shared" si="186"/>
        <v>3</v>
      </c>
      <c r="E233" s="230" t="str">
        <f t="shared" si="187"/>
        <v>-</v>
      </c>
      <c r="F233" s="231">
        <f t="shared" si="188"/>
        <v>0</v>
      </c>
      <c r="G233" s="231">
        <f t="shared" si="189"/>
        <v>0</v>
      </c>
      <c r="H233" s="231">
        <f t="shared" si="190"/>
        <v>0</v>
      </c>
      <c r="I233" s="268">
        <f t="shared" si="175"/>
        <v>0</v>
      </c>
      <c r="J233" s="269">
        <f t="shared" si="191"/>
        <v>0</v>
      </c>
      <c r="K233" s="269">
        <f t="shared" si="192"/>
        <v>0</v>
      </c>
      <c r="L233" s="269">
        <f t="shared" si="176"/>
        <v>0</v>
      </c>
      <c r="M233" s="269">
        <f t="shared" si="177"/>
        <v>0</v>
      </c>
      <c r="N233" s="233">
        <f>VLOOKUP(B233,Dados!$L$86:$P$90,5)</f>
        <v>0</v>
      </c>
      <c r="O233" s="270">
        <f t="shared" si="193"/>
        <v>0.99999999999999989</v>
      </c>
      <c r="P233" s="269">
        <f t="shared" si="194"/>
        <v>0</v>
      </c>
      <c r="Q233" s="269" t="e">
        <f t="shared" si="195"/>
        <v>#DIV/0!</v>
      </c>
      <c r="R233" s="269">
        <f t="shared" si="196"/>
        <v>0</v>
      </c>
      <c r="S233" s="269" t="e">
        <f t="shared" si="197"/>
        <v>#DIV/0!</v>
      </c>
      <c r="T233" s="269" t="e">
        <f t="shared" si="183"/>
        <v>#DIV/0!</v>
      </c>
      <c r="U233" s="234">
        <f t="shared" si="198"/>
        <v>0</v>
      </c>
      <c r="V233" s="232" t="e">
        <f t="shared" si="199"/>
        <v>#DIV/0!</v>
      </c>
      <c r="W233" s="269" t="e">
        <f t="shared" si="200"/>
        <v>#DIV/0!</v>
      </c>
      <c r="X233" s="235">
        <f t="shared" si="178"/>
        <v>0</v>
      </c>
      <c r="Y233" s="236">
        <f t="shared" si="201"/>
        <v>5</v>
      </c>
      <c r="Z233" s="236" t="e">
        <f t="shared" si="202"/>
        <v>#DIV/0!</v>
      </c>
      <c r="AA233" s="236">
        <f t="shared" si="203"/>
        <v>3</v>
      </c>
      <c r="AB233" s="236" t="e">
        <f t="shared" si="204"/>
        <v>#DIV/0!</v>
      </c>
      <c r="AC233" s="235">
        <f t="shared" si="205"/>
        <v>0</v>
      </c>
      <c r="AD233" s="235">
        <f t="shared" si="206"/>
        <v>0</v>
      </c>
      <c r="AE233" s="279">
        <f t="shared" si="207"/>
        <v>0</v>
      </c>
      <c r="AF233" s="232">
        <f t="shared" si="208"/>
        <v>0</v>
      </c>
      <c r="AG233" s="235">
        <f t="shared" si="209"/>
        <v>0</v>
      </c>
      <c r="AH233" s="269">
        <f t="shared" si="210"/>
        <v>0</v>
      </c>
      <c r="AI233" s="232">
        <f t="shared" si="211"/>
        <v>0</v>
      </c>
      <c r="AJ233" s="235">
        <f t="shared" si="212"/>
        <v>0</v>
      </c>
      <c r="AK233" s="269">
        <f t="shared" si="213"/>
        <v>0</v>
      </c>
      <c r="AL233" s="269">
        <f t="shared" si="179"/>
        <v>0</v>
      </c>
      <c r="AM233" s="281" t="e">
        <f>IF(B233&gt;=mpfo,pos*vvm*Dados!$E$122*(ntudv-SUM(U234:$U$301))-SUM($AM$13:AM232),0)</f>
        <v>#DIV/0!</v>
      </c>
      <c r="AN233" s="269" t="e">
        <f t="shared" si="214"/>
        <v>#DIV/0!</v>
      </c>
      <c r="AO233" s="232" t="e">
        <f t="shared" si="215"/>
        <v>#DIV/0!</v>
      </c>
      <c r="AP233" s="242" t="e">
        <f t="shared" si="216"/>
        <v>#DIV/0!</v>
      </c>
      <c r="AQ233" s="235" t="e">
        <f>IF(AP233+SUM($AQ$12:AQ232)&gt;=0,0,-AP233-SUM($AQ$12:AQ232))</f>
        <v>#DIV/0!</v>
      </c>
      <c r="AR233" s="235">
        <f>IF(SUM($N$13:N232)&gt;=pmo,IF(SUM(N232:$N$501)&gt;(1-pmo),B233,0),0)</f>
        <v>0</v>
      </c>
      <c r="AS233" s="235" t="e">
        <f>IF((SUM($U$13:$U232)/ntudv)&gt;=pmv,IF((SUM($U232:$U$501)/ntudv)&gt;(1-pmv),B233,0),0)</f>
        <v>#DIV/0!</v>
      </c>
      <c r="AT233" s="237" t="e">
        <f>IF(MAX(mmo,mmv)=mmo,IF(B233=AR233,(SUM(N$13:$N232)-pmo)/((1-VLOOKUP(MAX(mmo,mmv)-1,$B$13:$O$501,14))+(VLOOKUP(MAX(mmo,mmv)-1,$B$13:$O$501,14)-pmo)),N232/((1-VLOOKUP(MAX(mmo,mmv)-1,$B$13:$O$501,14)+(VLOOKUP(MAX(mmo,mmv)-1,$B$13:$O$501,14)-pmo)))),N232/(1-VLOOKUP(MAX(mmo,mmv)-2,$B$13:$O$501,14)))</f>
        <v>#DIV/0!</v>
      </c>
      <c r="AU233" s="101" t="e">
        <f t="shared" si="180"/>
        <v>#DIV/0!</v>
      </c>
      <c r="AV233" s="287" t="e">
        <f t="shared" si="181"/>
        <v>#DIV/0!</v>
      </c>
      <c r="AW233" s="235" t="e">
        <f t="shared" si="217"/>
        <v>#DIV/0!</v>
      </c>
      <c r="AX233" s="281">
        <f>IF(B233&gt;mpfo,0,IF(B233=mpfo,(vld-teo*(1+tcfo-incc)^(MAX(mmo,mmv)-mbfo))*-1,IF(SUM($N$13:N232)&gt;=pmo,IF(($V232/ntudv)&gt;=pmv,IF(B233=MAX(mmo,mmv),-teo*(1+tcfo-incc)^(B233-mbfo),0),0),0)))</f>
        <v>0</v>
      </c>
      <c r="AY233" s="292" t="e">
        <f t="shared" si="182"/>
        <v>#DIV/0!</v>
      </c>
      <c r="AZ233" s="235" t="e">
        <f t="shared" si="218"/>
        <v>#DIV/0!</v>
      </c>
      <c r="BA233" s="269" t="e">
        <f t="shared" si="219"/>
        <v>#DIV/0!</v>
      </c>
      <c r="BB233" s="292" t="e">
        <f t="shared" si="220"/>
        <v>#DIV/0!</v>
      </c>
      <c r="BC233" s="238" t="e">
        <f>IF(SUM($BC$13:BC232)&gt;0,0,IF(BB233&gt;0,B233,0))</f>
        <v>#DIV/0!</v>
      </c>
      <c r="BD233" s="292" t="e">
        <f>IF(BB233+SUM($BD$12:BD232)&gt;=0,0,-BB233-SUM($BD$12:BD232))</f>
        <v>#DIV/0!</v>
      </c>
      <c r="BE233" s="235" t="e">
        <f>BB233+SUM($BD$12:BD233)</f>
        <v>#DIV/0!</v>
      </c>
      <c r="BF233" s="292" t="e">
        <f>-MIN(BE233:$BE$501)-SUM(BF$12:$BF232)</f>
        <v>#DIV/0!</v>
      </c>
      <c r="BG233" s="235" t="e">
        <f t="shared" si="185"/>
        <v>#DIV/0!</v>
      </c>
    </row>
    <row r="234" spans="2:59">
      <c r="B234" s="246">
        <v>221</v>
      </c>
      <c r="C234" s="241">
        <f t="shared" si="184"/>
        <v>49404</v>
      </c>
      <c r="D234" s="229">
        <f t="shared" si="186"/>
        <v>4</v>
      </c>
      <c r="E234" s="230" t="str">
        <f t="shared" si="187"/>
        <v>-</v>
      </c>
      <c r="F234" s="231">
        <f t="shared" si="188"/>
        <v>0</v>
      </c>
      <c r="G234" s="231">
        <f t="shared" si="189"/>
        <v>0</v>
      </c>
      <c r="H234" s="231">
        <f t="shared" si="190"/>
        <v>0</v>
      </c>
      <c r="I234" s="268">
        <f t="shared" si="175"/>
        <v>0</v>
      </c>
      <c r="J234" s="269">
        <f t="shared" si="191"/>
        <v>0</v>
      </c>
      <c r="K234" s="269">
        <f t="shared" si="192"/>
        <v>0</v>
      </c>
      <c r="L234" s="269">
        <f t="shared" si="176"/>
        <v>0</v>
      </c>
      <c r="M234" s="269">
        <f t="shared" si="177"/>
        <v>0</v>
      </c>
      <c r="N234" s="233">
        <f>VLOOKUP(B234,Dados!$L$86:$P$90,5)</f>
        <v>0</v>
      </c>
      <c r="O234" s="270">
        <f t="shared" si="193"/>
        <v>0.99999999999999989</v>
      </c>
      <c r="P234" s="269">
        <f t="shared" si="194"/>
        <v>0</v>
      </c>
      <c r="Q234" s="269" t="e">
        <f t="shared" si="195"/>
        <v>#DIV/0!</v>
      </c>
      <c r="R234" s="269">
        <f t="shared" si="196"/>
        <v>0</v>
      </c>
      <c r="S234" s="269" t="e">
        <f t="shared" si="197"/>
        <v>#DIV/0!</v>
      </c>
      <c r="T234" s="269" t="e">
        <f t="shared" si="183"/>
        <v>#DIV/0!</v>
      </c>
      <c r="U234" s="234">
        <f t="shared" si="198"/>
        <v>0</v>
      </c>
      <c r="V234" s="232" t="e">
        <f t="shared" si="199"/>
        <v>#DIV/0!</v>
      </c>
      <c r="W234" s="269" t="e">
        <f t="shared" si="200"/>
        <v>#DIV/0!</v>
      </c>
      <c r="X234" s="235">
        <f t="shared" si="178"/>
        <v>0</v>
      </c>
      <c r="Y234" s="236">
        <f t="shared" si="201"/>
        <v>5</v>
      </c>
      <c r="Z234" s="236" t="e">
        <f t="shared" si="202"/>
        <v>#DIV/0!</v>
      </c>
      <c r="AA234" s="236">
        <f t="shared" si="203"/>
        <v>3</v>
      </c>
      <c r="AB234" s="236" t="e">
        <f t="shared" si="204"/>
        <v>#DIV/0!</v>
      </c>
      <c r="AC234" s="235">
        <f t="shared" si="205"/>
        <v>0</v>
      </c>
      <c r="AD234" s="235">
        <f t="shared" si="206"/>
        <v>0</v>
      </c>
      <c r="AE234" s="279">
        <f t="shared" si="207"/>
        <v>0</v>
      </c>
      <c r="AF234" s="232">
        <f t="shared" si="208"/>
        <v>0</v>
      </c>
      <c r="AG234" s="235">
        <f t="shared" si="209"/>
        <v>0</v>
      </c>
      <c r="AH234" s="269">
        <f t="shared" si="210"/>
        <v>0</v>
      </c>
      <c r="AI234" s="232">
        <f t="shared" si="211"/>
        <v>0</v>
      </c>
      <c r="AJ234" s="235">
        <f t="shared" si="212"/>
        <v>0</v>
      </c>
      <c r="AK234" s="269">
        <f t="shared" si="213"/>
        <v>0</v>
      </c>
      <c r="AL234" s="269">
        <f t="shared" si="179"/>
        <v>0</v>
      </c>
      <c r="AM234" s="281" t="e">
        <f>IF(B234&gt;=mpfo,pos*vvm*Dados!$E$122*(ntudv-SUM(U235:$U$301))-SUM($AM$13:AM233),0)</f>
        <v>#DIV/0!</v>
      </c>
      <c r="AN234" s="269" t="e">
        <f t="shared" si="214"/>
        <v>#DIV/0!</v>
      </c>
      <c r="AO234" s="232" t="e">
        <f t="shared" si="215"/>
        <v>#DIV/0!</v>
      </c>
      <c r="AP234" s="242" t="e">
        <f t="shared" si="216"/>
        <v>#DIV/0!</v>
      </c>
      <c r="AQ234" s="235" t="e">
        <f>IF(AP234+SUM($AQ$12:AQ233)&gt;=0,0,-AP234-SUM($AQ$12:AQ233))</f>
        <v>#DIV/0!</v>
      </c>
      <c r="AR234" s="235">
        <f>IF(SUM($N$13:N233)&gt;=pmo,IF(SUM(N233:$N$501)&gt;(1-pmo),B234,0),0)</f>
        <v>0</v>
      </c>
      <c r="AS234" s="235" t="e">
        <f>IF((SUM($U$13:$U233)/ntudv)&gt;=pmv,IF((SUM($U233:$U$501)/ntudv)&gt;(1-pmv),B234,0),0)</f>
        <v>#DIV/0!</v>
      </c>
      <c r="AT234" s="237" t="e">
        <f>IF(MAX(mmo,mmv)=mmo,IF(B234=AR234,(SUM(N$13:$N233)-pmo)/((1-VLOOKUP(MAX(mmo,mmv)-1,$B$13:$O$501,14))+(VLOOKUP(MAX(mmo,mmv)-1,$B$13:$O$501,14)-pmo)),N233/((1-VLOOKUP(MAX(mmo,mmv)-1,$B$13:$O$501,14)+(VLOOKUP(MAX(mmo,mmv)-1,$B$13:$O$501,14)-pmo)))),N233/(1-VLOOKUP(MAX(mmo,mmv)-2,$B$13:$O$501,14)))</f>
        <v>#DIV/0!</v>
      </c>
      <c r="AU234" s="101" t="e">
        <f t="shared" si="180"/>
        <v>#DIV/0!</v>
      </c>
      <c r="AV234" s="287" t="e">
        <f t="shared" si="181"/>
        <v>#DIV/0!</v>
      </c>
      <c r="AW234" s="235" t="e">
        <f t="shared" si="217"/>
        <v>#DIV/0!</v>
      </c>
      <c r="AX234" s="281">
        <f>IF(B234&gt;mpfo,0,IF(B234=mpfo,(vld-teo*(1+tcfo-incc)^(MAX(mmo,mmv)-mbfo))*-1,IF(SUM($N$13:N233)&gt;=pmo,IF(($V233/ntudv)&gt;=pmv,IF(B234=MAX(mmo,mmv),-teo*(1+tcfo-incc)^(B234-mbfo),0),0),0)))</f>
        <v>0</v>
      </c>
      <c r="AY234" s="292" t="e">
        <f t="shared" si="182"/>
        <v>#DIV/0!</v>
      </c>
      <c r="AZ234" s="235" t="e">
        <f t="shared" si="218"/>
        <v>#DIV/0!</v>
      </c>
      <c r="BA234" s="269" t="e">
        <f t="shared" si="219"/>
        <v>#DIV/0!</v>
      </c>
      <c r="BB234" s="292" t="e">
        <f t="shared" si="220"/>
        <v>#DIV/0!</v>
      </c>
      <c r="BC234" s="238" t="e">
        <f>IF(SUM($BC$13:BC233)&gt;0,0,IF(BB234&gt;0,B234,0))</f>
        <v>#DIV/0!</v>
      </c>
      <c r="BD234" s="292" t="e">
        <f>IF(BB234+SUM($BD$12:BD233)&gt;=0,0,-BB234-SUM($BD$12:BD233))</f>
        <v>#DIV/0!</v>
      </c>
      <c r="BE234" s="235" t="e">
        <f>BB234+SUM($BD$12:BD234)</f>
        <v>#DIV/0!</v>
      </c>
      <c r="BF234" s="292" t="e">
        <f>-MIN(BE234:$BE$501)-SUM(BF$12:$BF233)</f>
        <v>#DIV/0!</v>
      </c>
      <c r="BG234" s="235" t="e">
        <f t="shared" si="185"/>
        <v>#DIV/0!</v>
      </c>
    </row>
    <row r="235" spans="2:59">
      <c r="B235" s="120">
        <v>222</v>
      </c>
      <c r="C235" s="241">
        <f t="shared" si="184"/>
        <v>49434</v>
      </c>
      <c r="D235" s="229">
        <f t="shared" si="186"/>
        <v>5</v>
      </c>
      <c r="E235" s="230" t="str">
        <f t="shared" si="187"/>
        <v>-</v>
      </c>
      <c r="F235" s="231">
        <f t="shared" si="188"/>
        <v>0</v>
      </c>
      <c r="G235" s="231">
        <f t="shared" si="189"/>
        <v>0</v>
      </c>
      <c r="H235" s="231">
        <f t="shared" si="190"/>
        <v>0</v>
      </c>
      <c r="I235" s="268">
        <f t="shared" si="175"/>
        <v>0</v>
      </c>
      <c r="J235" s="269">
        <f t="shared" si="191"/>
        <v>0</v>
      </c>
      <c r="K235" s="269">
        <f t="shared" si="192"/>
        <v>0</v>
      </c>
      <c r="L235" s="269">
        <f t="shared" si="176"/>
        <v>0</v>
      </c>
      <c r="M235" s="269">
        <f t="shared" si="177"/>
        <v>0</v>
      </c>
      <c r="N235" s="233">
        <f>VLOOKUP(B235,Dados!$L$86:$P$90,5)</f>
        <v>0</v>
      </c>
      <c r="O235" s="270">
        <f t="shared" si="193"/>
        <v>0.99999999999999989</v>
      </c>
      <c r="P235" s="269">
        <f t="shared" si="194"/>
        <v>0</v>
      </c>
      <c r="Q235" s="269" t="e">
        <f t="shared" si="195"/>
        <v>#DIV/0!</v>
      </c>
      <c r="R235" s="269">
        <f t="shared" si="196"/>
        <v>0</v>
      </c>
      <c r="S235" s="269" t="e">
        <f t="shared" si="197"/>
        <v>#DIV/0!</v>
      </c>
      <c r="T235" s="269" t="e">
        <f t="shared" si="183"/>
        <v>#DIV/0!</v>
      </c>
      <c r="U235" s="234">
        <f t="shared" si="198"/>
        <v>0</v>
      </c>
      <c r="V235" s="232" t="e">
        <f t="shared" si="199"/>
        <v>#DIV/0!</v>
      </c>
      <c r="W235" s="269" t="e">
        <f t="shared" si="200"/>
        <v>#DIV/0!</v>
      </c>
      <c r="X235" s="235">
        <f t="shared" si="178"/>
        <v>0</v>
      </c>
      <c r="Y235" s="236">
        <f t="shared" si="201"/>
        <v>5</v>
      </c>
      <c r="Z235" s="236" t="e">
        <f t="shared" si="202"/>
        <v>#DIV/0!</v>
      </c>
      <c r="AA235" s="236">
        <f t="shared" si="203"/>
        <v>3</v>
      </c>
      <c r="AB235" s="236" t="e">
        <f t="shared" si="204"/>
        <v>#DIV/0!</v>
      </c>
      <c r="AC235" s="235">
        <f t="shared" si="205"/>
        <v>0</v>
      </c>
      <c r="AD235" s="235">
        <f t="shared" si="206"/>
        <v>0</v>
      </c>
      <c r="AE235" s="279">
        <f t="shared" si="207"/>
        <v>0</v>
      </c>
      <c r="AF235" s="232">
        <f t="shared" si="208"/>
        <v>0</v>
      </c>
      <c r="AG235" s="235">
        <f t="shared" si="209"/>
        <v>0</v>
      </c>
      <c r="AH235" s="269">
        <f t="shared" si="210"/>
        <v>0</v>
      </c>
      <c r="AI235" s="232">
        <f t="shared" si="211"/>
        <v>0</v>
      </c>
      <c r="AJ235" s="235">
        <f t="shared" si="212"/>
        <v>0</v>
      </c>
      <c r="AK235" s="269">
        <f t="shared" si="213"/>
        <v>0</v>
      </c>
      <c r="AL235" s="269">
        <f t="shared" si="179"/>
        <v>0</v>
      </c>
      <c r="AM235" s="281" t="e">
        <f>IF(B235&gt;=mpfo,pos*vvm*Dados!$E$122*(ntudv-SUM(U236:$U$301))-SUM($AM$13:AM234),0)</f>
        <v>#DIV/0!</v>
      </c>
      <c r="AN235" s="269" t="e">
        <f t="shared" si="214"/>
        <v>#DIV/0!</v>
      </c>
      <c r="AO235" s="232" t="e">
        <f t="shared" si="215"/>
        <v>#DIV/0!</v>
      </c>
      <c r="AP235" s="242" t="e">
        <f t="shared" si="216"/>
        <v>#DIV/0!</v>
      </c>
      <c r="AQ235" s="235" t="e">
        <f>IF(AP235+SUM($AQ$12:AQ234)&gt;=0,0,-AP235-SUM($AQ$12:AQ234))</f>
        <v>#DIV/0!</v>
      </c>
      <c r="AR235" s="235">
        <f>IF(SUM($N$13:N234)&gt;=pmo,IF(SUM(N234:$N$501)&gt;(1-pmo),B235,0),0)</f>
        <v>0</v>
      </c>
      <c r="AS235" s="235" t="e">
        <f>IF((SUM($U$13:$U234)/ntudv)&gt;=pmv,IF((SUM($U234:$U$501)/ntudv)&gt;(1-pmv),B235,0),0)</f>
        <v>#DIV/0!</v>
      </c>
      <c r="AT235" s="237" t="e">
        <f>IF(MAX(mmo,mmv)=mmo,IF(B235=AR235,(SUM(N$13:$N234)-pmo)/((1-VLOOKUP(MAX(mmo,mmv)-1,$B$13:$O$501,14))+(VLOOKUP(MAX(mmo,mmv)-1,$B$13:$O$501,14)-pmo)),N234/((1-VLOOKUP(MAX(mmo,mmv)-1,$B$13:$O$501,14)+(VLOOKUP(MAX(mmo,mmv)-1,$B$13:$O$501,14)-pmo)))),N234/(1-VLOOKUP(MAX(mmo,mmv)-2,$B$13:$O$501,14)))</f>
        <v>#DIV/0!</v>
      </c>
      <c r="AU235" s="101" t="e">
        <f t="shared" si="180"/>
        <v>#DIV/0!</v>
      </c>
      <c r="AV235" s="287" t="e">
        <f t="shared" si="181"/>
        <v>#DIV/0!</v>
      </c>
      <c r="AW235" s="235" t="e">
        <f t="shared" si="217"/>
        <v>#DIV/0!</v>
      </c>
      <c r="AX235" s="281">
        <f>IF(B235&gt;mpfo,0,IF(B235=mpfo,(vld-teo*(1+tcfo-incc)^(MAX(mmo,mmv)-mbfo))*-1,IF(SUM($N$13:N234)&gt;=pmo,IF(($V234/ntudv)&gt;=pmv,IF(B235=MAX(mmo,mmv),-teo*(1+tcfo-incc)^(B235-mbfo),0),0),0)))</f>
        <v>0</v>
      </c>
      <c r="AY235" s="292" t="e">
        <f t="shared" si="182"/>
        <v>#DIV/0!</v>
      </c>
      <c r="AZ235" s="235" t="e">
        <f t="shared" si="218"/>
        <v>#DIV/0!</v>
      </c>
      <c r="BA235" s="269" t="e">
        <f t="shared" si="219"/>
        <v>#DIV/0!</v>
      </c>
      <c r="BB235" s="292" t="e">
        <f t="shared" si="220"/>
        <v>#DIV/0!</v>
      </c>
      <c r="BC235" s="238" t="e">
        <f>IF(SUM($BC$13:BC234)&gt;0,0,IF(BB235&gt;0,B235,0))</f>
        <v>#DIV/0!</v>
      </c>
      <c r="BD235" s="292" t="e">
        <f>IF(BB235+SUM($BD$12:BD234)&gt;=0,0,-BB235-SUM($BD$12:BD234))</f>
        <v>#DIV/0!</v>
      </c>
      <c r="BE235" s="235" t="e">
        <f>BB235+SUM($BD$12:BD235)</f>
        <v>#DIV/0!</v>
      </c>
      <c r="BF235" s="292" t="e">
        <f>-MIN(BE235:$BE$501)-SUM(BF$12:$BF234)</f>
        <v>#DIV/0!</v>
      </c>
      <c r="BG235" s="235" t="e">
        <f t="shared" si="185"/>
        <v>#DIV/0!</v>
      </c>
    </row>
    <row r="236" spans="2:59">
      <c r="B236" s="246">
        <v>223</v>
      </c>
      <c r="C236" s="241">
        <f t="shared" si="184"/>
        <v>49465</v>
      </c>
      <c r="D236" s="229">
        <f t="shared" si="186"/>
        <v>6</v>
      </c>
      <c r="E236" s="230" t="str">
        <f t="shared" si="187"/>
        <v>-</v>
      </c>
      <c r="F236" s="231">
        <f t="shared" si="188"/>
        <v>0</v>
      </c>
      <c r="G236" s="231">
        <f t="shared" si="189"/>
        <v>0</v>
      </c>
      <c r="H236" s="231">
        <f t="shared" si="190"/>
        <v>0</v>
      </c>
      <c r="I236" s="268">
        <f t="shared" si="175"/>
        <v>0</v>
      </c>
      <c r="J236" s="269">
        <f t="shared" si="191"/>
        <v>0</v>
      </c>
      <c r="K236" s="269">
        <f t="shared" si="192"/>
        <v>0</v>
      </c>
      <c r="L236" s="269">
        <f t="shared" si="176"/>
        <v>0</v>
      </c>
      <c r="M236" s="269">
        <f t="shared" si="177"/>
        <v>0</v>
      </c>
      <c r="N236" s="233">
        <f>VLOOKUP(B236,Dados!$L$86:$P$90,5)</f>
        <v>0</v>
      </c>
      <c r="O236" s="270">
        <f t="shared" si="193"/>
        <v>0.99999999999999989</v>
      </c>
      <c r="P236" s="269">
        <f t="shared" si="194"/>
        <v>0</v>
      </c>
      <c r="Q236" s="269" t="e">
        <f t="shared" si="195"/>
        <v>#DIV/0!</v>
      </c>
      <c r="R236" s="269">
        <f t="shared" si="196"/>
        <v>0</v>
      </c>
      <c r="S236" s="269" t="e">
        <f t="shared" si="197"/>
        <v>#DIV/0!</v>
      </c>
      <c r="T236" s="269" t="e">
        <f t="shared" si="183"/>
        <v>#DIV/0!</v>
      </c>
      <c r="U236" s="234">
        <f t="shared" si="198"/>
        <v>0</v>
      </c>
      <c r="V236" s="232" t="e">
        <f t="shared" si="199"/>
        <v>#DIV/0!</v>
      </c>
      <c r="W236" s="269" t="e">
        <f t="shared" si="200"/>
        <v>#DIV/0!</v>
      </c>
      <c r="X236" s="235">
        <f t="shared" si="178"/>
        <v>0</v>
      </c>
      <c r="Y236" s="236">
        <f t="shared" si="201"/>
        <v>5</v>
      </c>
      <c r="Z236" s="236" t="e">
        <f t="shared" si="202"/>
        <v>#DIV/0!</v>
      </c>
      <c r="AA236" s="236">
        <f t="shared" si="203"/>
        <v>3</v>
      </c>
      <c r="AB236" s="236" t="e">
        <f t="shared" si="204"/>
        <v>#DIV/0!</v>
      </c>
      <c r="AC236" s="235">
        <f t="shared" si="205"/>
        <v>0</v>
      </c>
      <c r="AD236" s="235">
        <f t="shared" si="206"/>
        <v>0</v>
      </c>
      <c r="AE236" s="279">
        <f t="shared" si="207"/>
        <v>0</v>
      </c>
      <c r="AF236" s="232">
        <f t="shared" si="208"/>
        <v>1</v>
      </c>
      <c r="AG236" s="235">
        <f t="shared" si="209"/>
        <v>0</v>
      </c>
      <c r="AH236" s="269">
        <f t="shared" si="210"/>
        <v>0</v>
      </c>
      <c r="AI236" s="232">
        <f t="shared" si="211"/>
        <v>0</v>
      </c>
      <c r="AJ236" s="235">
        <f t="shared" si="212"/>
        <v>0</v>
      </c>
      <c r="AK236" s="269">
        <f t="shared" si="213"/>
        <v>0</v>
      </c>
      <c r="AL236" s="269">
        <f t="shared" si="179"/>
        <v>0</v>
      </c>
      <c r="AM236" s="281" t="e">
        <f>IF(B236&gt;=mpfo,pos*vvm*Dados!$E$122*(ntudv-SUM(U237:$U$301))-SUM($AM$13:AM235),0)</f>
        <v>#DIV/0!</v>
      </c>
      <c r="AN236" s="269" t="e">
        <f t="shared" si="214"/>
        <v>#DIV/0!</v>
      </c>
      <c r="AO236" s="232" t="e">
        <f t="shared" si="215"/>
        <v>#DIV/0!</v>
      </c>
      <c r="AP236" s="242" t="e">
        <f t="shared" si="216"/>
        <v>#DIV/0!</v>
      </c>
      <c r="AQ236" s="235" t="e">
        <f>IF(AP236+SUM($AQ$12:AQ235)&gt;=0,0,-AP236-SUM($AQ$12:AQ235))</f>
        <v>#DIV/0!</v>
      </c>
      <c r="AR236" s="235">
        <f>IF(SUM($N$13:N235)&gt;=pmo,IF(SUM(N235:$N$501)&gt;(1-pmo),B236,0),0)</f>
        <v>0</v>
      </c>
      <c r="AS236" s="235" t="e">
        <f>IF((SUM($U$13:$U235)/ntudv)&gt;=pmv,IF((SUM($U235:$U$501)/ntudv)&gt;(1-pmv),B236,0),0)</f>
        <v>#DIV/0!</v>
      </c>
      <c r="AT236" s="237" t="e">
        <f>IF(MAX(mmo,mmv)=mmo,IF(B236=AR236,(SUM(N$13:$N235)-pmo)/((1-VLOOKUP(MAX(mmo,mmv)-1,$B$13:$O$501,14))+(VLOOKUP(MAX(mmo,mmv)-1,$B$13:$O$501,14)-pmo)),N235/((1-VLOOKUP(MAX(mmo,mmv)-1,$B$13:$O$501,14)+(VLOOKUP(MAX(mmo,mmv)-1,$B$13:$O$501,14)-pmo)))),N235/(1-VLOOKUP(MAX(mmo,mmv)-2,$B$13:$O$501,14)))</f>
        <v>#DIV/0!</v>
      </c>
      <c r="AU236" s="101" t="e">
        <f t="shared" si="180"/>
        <v>#DIV/0!</v>
      </c>
      <c r="AV236" s="287" t="e">
        <f t="shared" si="181"/>
        <v>#DIV/0!</v>
      </c>
      <c r="AW236" s="235" t="e">
        <f t="shared" si="217"/>
        <v>#DIV/0!</v>
      </c>
      <c r="AX236" s="281">
        <f>IF(B236&gt;mpfo,0,IF(B236=mpfo,(vld-teo*(1+tcfo-incc)^(MAX(mmo,mmv)-mbfo))*-1,IF(SUM($N$13:N235)&gt;=pmo,IF(($V235/ntudv)&gt;=pmv,IF(B236=MAX(mmo,mmv),-teo*(1+tcfo-incc)^(B236-mbfo),0),0),0)))</f>
        <v>0</v>
      </c>
      <c r="AY236" s="292" t="e">
        <f t="shared" si="182"/>
        <v>#DIV/0!</v>
      </c>
      <c r="AZ236" s="235" t="e">
        <f t="shared" si="218"/>
        <v>#DIV/0!</v>
      </c>
      <c r="BA236" s="269" t="e">
        <f t="shared" si="219"/>
        <v>#DIV/0!</v>
      </c>
      <c r="BB236" s="292" t="e">
        <f t="shared" si="220"/>
        <v>#DIV/0!</v>
      </c>
      <c r="BC236" s="238" t="e">
        <f>IF(SUM($BC$13:BC235)&gt;0,0,IF(BB236&gt;0,B236,0))</f>
        <v>#DIV/0!</v>
      </c>
      <c r="BD236" s="292" t="e">
        <f>IF(BB236+SUM($BD$12:BD235)&gt;=0,0,-BB236-SUM($BD$12:BD235))</f>
        <v>#DIV/0!</v>
      </c>
      <c r="BE236" s="235" t="e">
        <f>BB236+SUM($BD$12:BD236)</f>
        <v>#DIV/0!</v>
      </c>
      <c r="BF236" s="292" t="e">
        <f>-MIN(BE236:$BE$501)-SUM(BF$12:$BF235)</f>
        <v>#DIV/0!</v>
      </c>
      <c r="BG236" s="235" t="e">
        <f t="shared" si="185"/>
        <v>#DIV/0!</v>
      </c>
    </row>
    <row r="237" spans="2:59">
      <c r="B237" s="120">
        <v>224</v>
      </c>
      <c r="C237" s="241">
        <f t="shared" si="184"/>
        <v>49495</v>
      </c>
      <c r="D237" s="229">
        <f t="shared" si="186"/>
        <v>7</v>
      </c>
      <c r="E237" s="230" t="str">
        <f t="shared" si="187"/>
        <v>-</v>
      </c>
      <c r="F237" s="231">
        <f t="shared" si="188"/>
        <v>0</v>
      </c>
      <c r="G237" s="231">
        <f t="shared" si="189"/>
        <v>0</v>
      </c>
      <c r="H237" s="231">
        <f t="shared" si="190"/>
        <v>0</v>
      </c>
      <c r="I237" s="268">
        <f t="shared" si="175"/>
        <v>0</v>
      </c>
      <c r="J237" s="269">
        <f t="shared" si="191"/>
        <v>0</v>
      </c>
      <c r="K237" s="269">
        <f t="shared" si="192"/>
        <v>0</v>
      </c>
      <c r="L237" s="269">
        <f t="shared" si="176"/>
        <v>0</v>
      </c>
      <c r="M237" s="269">
        <f t="shared" si="177"/>
        <v>0</v>
      </c>
      <c r="N237" s="233">
        <f>VLOOKUP(B237,Dados!$L$86:$P$90,5)</f>
        <v>0</v>
      </c>
      <c r="O237" s="270">
        <f t="shared" si="193"/>
        <v>0.99999999999999989</v>
      </c>
      <c r="P237" s="269">
        <f t="shared" si="194"/>
        <v>0</v>
      </c>
      <c r="Q237" s="269" t="e">
        <f t="shared" si="195"/>
        <v>#DIV/0!</v>
      </c>
      <c r="R237" s="269">
        <f t="shared" si="196"/>
        <v>0</v>
      </c>
      <c r="S237" s="269" t="e">
        <f t="shared" si="197"/>
        <v>#DIV/0!</v>
      </c>
      <c r="T237" s="269" t="e">
        <f t="shared" si="183"/>
        <v>#DIV/0!</v>
      </c>
      <c r="U237" s="234">
        <f t="shared" si="198"/>
        <v>0</v>
      </c>
      <c r="V237" s="232" t="e">
        <f t="shared" si="199"/>
        <v>#DIV/0!</v>
      </c>
      <c r="W237" s="269" t="e">
        <f t="shared" si="200"/>
        <v>#DIV/0!</v>
      </c>
      <c r="X237" s="235">
        <f t="shared" si="178"/>
        <v>0</v>
      </c>
      <c r="Y237" s="236">
        <f t="shared" si="201"/>
        <v>5</v>
      </c>
      <c r="Z237" s="236" t="e">
        <f t="shared" si="202"/>
        <v>#DIV/0!</v>
      </c>
      <c r="AA237" s="236">
        <f t="shared" si="203"/>
        <v>3</v>
      </c>
      <c r="AB237" s="236" t="e">
        <f t="shared" si="204"/>
        <v>#DIV/0!</v>
      </c>
      <c r="AC237" s="235">
        <f t="shared" si="205"/>
        <v>0</v>
      </c>
      <c r="AD237" s="235">
        <f t="shared" si="206"/>
        <v>0</v>
      </c>
      <c r="AE237" s="279">
        <f t="shared" si="207"/>
        <v>0</v>
      </c>
      <c r="AF237" s="232">
        <f t="shared" si="208"/>
        <v>0</v>
      </c>
      <c r="AG237" s="235">
        <f t="shared" si="209"/>
        <v>0</v>
      </c>
      <c r="AH237" s="269">
        <f t="shared" si="210"/>
        <v>0</v>
      </c>
      <c r="AI237" s="232">
        <f t="shared" si="211"/>
        <v>0</v>
      </c>
      <c r="AJ237" s="235">
        <f t="shared" si="212"/>
        <v>0</v>
      </c>
      <c r="AK237" s="269">
        <f t="shared" si="213"/>
        <v>0</v>
      </c>
      <c r="AL237" s="269">
        <f t="shared" si="179"/>
        <v>0</v>
      </c>
      <c r="AM237" s="281" t="e">
        <f>IF(B237&gt;=mpfo,pos*vvm*Dados!$E$122*(ntudv-SUM(U238:$U$301))-SUM($AM$13:AM236),0)</f>
        <v>#DIV/0!</v>
      </c>
      <c r="AN237" s="269" t="e">
        <f t="shared" si="214"/>
        <v>#DIV/0!</v>
      </c>
      <c r="AO237" s="232" t="e">
        <f t="shared" si="215"/>
        <v>#DIV/0!</v>
      </c>
      <c r="AP237" s="242" t="e">
        <f t="shared" si="216"/>
        <v>#DIV/0!</v>
      </c>
      <c r="AQ237" s="235" t="e">
        <f>IF(AP237+SUM($AQ$12:AQ236)&gt;=0,0,-AP237-SUM($AQ$12:AQ236))</f>
        <v>#DIV/0!</v>
      </c>
      <c r="AR237" s="235">
        <f>IF(SUM($N$13:N236)&gt;=pmo,IF(SUM(N236:$N$501)&gt;(1-pmo),B237,0),0)</f>
        <v>0</v>
      </c>
      <c r="AS237" s="235" t="e">
        <f>IF((SUM($U$13:$U236)/ntudv)&gt;=pmv,IF((SUM($U236:$U$501)/ntudv)&gt;(1-pmv),B237,0),0)</f>
        <v>#DIV/0!</v>
      </c>
      <c r="AT237" s="237" t="e">
        <f>IF(MAX(mmo,mmv)=mmo,IF(B237=AR237,(SUM(N$13:$N236)-pmo)/((1-VLOOKUP(MAX(mmo,mmv)-1,$B$13:$O$501,14))+(VLOOKUP(MAX(mmo,mmv)-1,$B$13:$O$501,14)-pmo)),N236/((1-VLOOKUP(MAX(mmo,mmv)-1,$B$13:$O$501,14)+(VLOOKUP(MAX(mmo,mmv)-1,$B$13:$O$501,14)-pmo)))),N236/(1-VLOOKUP(MAX(mmo,mmv)-2,$B$13:$O$501,14)))</f>
        <v>#DIV/0!</v>
      </c>
      <c r="AU237" s="101" t="e">
        <f t="shared" si="180"/>
        <v>#DIV/0!</v>
      </c>
      <c r="AV237" s="287" t="e">
        <f t="shared" si="181"/>
        <v>#DIV/0!</v>
      </c>
      <c r="AW237" s="235" t="e">
        <f t="shared" si="217"/>
        <v>#DIV/0!</v>
      </c>
      <c r="AX237" s="281">
        <f>IF(B237&gt;mpfo,0,IF(B237=mpfo,(vld-teo*(1+tcfo-incc)^(MAX(mmo,mmv)-mbfo))*-1,IF(SUM($N$13:N236)&gt;=pmo,IF(($V236/ntudv)&gt;=pmv,IF(B237=MAX(mmo,mmv),-teo*(1+tcfo-incc)^(B237-mbfo),0),0),0)))</f>
        <v>0</v>
      </c>
      <c r="AY237" s="292" t="e">
        <f t="shared" si="182"/>
        <v>#DIV/0!</v>
      </c>
      <c r="AZ237" s="235" t="e">
        <f t="shared" si="218"/>
        <v>#DIV/0!</v>
      </c>
      <c r="BA237" s="269" t="e">
        <f t="shared" si="219"/>
        <v>#DIV/0!</v>
      </c>
      <c r="BB237" s="292" t="e">
        <f t="shared" si="220"/>
        <v>#DIV/0!</v>
      </c>
      <c r="BC237" s="238" t="e">
        <f>IF(SUM($BC$13:BC236)&gt;0,0,IF(BB237&gt;0,B237,0))</f>
        <v>#DIV/0!</v>
      </c>
      <c r="BD237" s="292" t="e">
        <f>IF(BB237+SUM($BD$12:BD236)&gt;=0,0,-BB237-SUM($BD$12:BD236))</f>
        <v>#DIV/0!</v>
      </c>
      <c r="BE237" s="235" t="e">
        <f>BB237+SUM($BD$12:BD237)</f>
        <v>#DIV/0!</v>
      </c>
      <c r="BF237" s="292" t="e">
        <f>-MIN(BE237:$BE$501)-SUM(BF$12:$BF236)</f>
        <v>#DIV/0!</v>
      </c>
      <c r="BG237" s="235" t="e">
        <f t="shared" si="185"/>
        <v>#DIV/0!</v>
      </c>
    </row>
    <row r="238" spans="2:59">
      <c r="B238" s="246">
        <v>225</v>
      </c>
      <c r="C238" s="241">
        <f t="shared" si="184"/>
        <v>49526</v>
      </c>
      <c r="D238" s="229">
        <f t="shared" si="186"/>
        <v>8</v>
      </c>
      <c r="E238" s="230" t="str">
        <f t="shared" si="187"/>
        <v>-</v>
      </c>
      <c r="F238" s="231">
        <f t="shared" si="188"/>
        <v>0</v>
      </c>
      <c r="G238" s="231">
        <f t="shared" si="189"/>
        <v>0</v>
      </c>
      <c r="H238" s="231">
        <f t="shared" si="190"/>
        <v>0</v>
      </c>
      <c r="I238" s="268">
        <f t="shared" si="175"/>
        <v>0</v>
      </c>
      <c r="J238" s="269">
        <f t="shared" si="191"/>
        <v>0</v>
      </c>
      <c r="K238" s="269">
        <f t="shared" si="192"/>
        <v>0</v>
      </c>
      <c r="L238" s="269">
        <f t="shared" si="176"/>
        <v>0</v>
      </c>
      <c r="M238" s="269">
        <f t="shared" si="177"/>
        <v>0</v>
      </c>
      <c r="N238" s="233">
        <f>VLOOKUP(B238,Dados!$L$86:$P$90,5)</f>
        <v>0</v>
      </c>
      <c r="O238" s="270">
        <f t="shared" si="193"/>
        <v>0.99999999999999989</v>
      </c>
      <c r="P238" s="269">
        <f t="shared" si="194"/>
        <v>0</v>
      </c>
      <c r="Q238" s="269" t="e">
        <f t="shared" si="195"/>
        <v>#DIV/0!</v>
      </c>
      <c r="R238" s="269">
        <f t="shared" si="196"/>
        <v>0</v>
      </c>
      <c r="S238" s="269" t="e">
        <f t="shared" si="197"/>
        <v>#DIV/0!</v>
      </c>
      <c r="T238" s="269" t="e">
        <f t="shared" si="183"/>
        <v>#DIV/0!</v>
      </c>
      <c r="U238" s="234">
        <f t="shared" si="198"/>
        <v>0</v>
      </c>
      <c r="V238" s="232" t="e">
        <f t="shared" si="199"/>
        <v>#DIV/0!</v>
      </c>
      <c r="W238" s="269" t="e">
        <f t="shared" si="200"/>
        <v>#DIV/0!</v>
      </c>
      <c r="X238" s="235">
        <f t="shared" si="178"/>
        <v>0</v>
      </c>
      <c r="Y238" s="236">
        <f t="shared" si="201"/>
        <v>5</v>
      </c>
      <c r="Z238" s="236" t="e">
        <f t="shared" si="202"/>
        <v>#DIV/0!</v>
      </c>
      <c r="AA238" s="236">
        <f t="shared" si="203"/>
        <v>3</v>
      </c>
      <c r="AB238" s="236" t="e">
        <f t="shared" si="204"/>
        <v>#DIV/0!</v>
      </c>
      <c r="AC238" s="235">
        <f t="shared" si="205"/>
        <v>0</v>
      </c>
      <c r="AD238" s="235">
        <f t="shared" si="206"/>
        <v>0</v>
      </c>
      <c r="AE238" s="279">
        <f t="shared" si="207"/>
        <v>0</v>
      </c>
      <c r="AF238" s="232">
        <f t="shared" si="208"/>
        <v>0</v>
      </c>
      <c r="AG238" s="235">
        <f t="shared" si="209"/>
        <v>0</v>
      </c>
      <c r="AH238" s="269">
        <f t="shared" si="210"/>
        <v>0</v>
      </c>
      <c r="AI238" s="232">
        <f t="shared" si="211"/>
        <v>0</v>
      </c>
      <c r="AJ238" s="235">
        <f t="shared" si="212"/>
        <v>0</v>
      </c>
      <c r="AK238" s="269">
        <f t="shared" si="213"/>
        <v>0</v>
      </c>
      <c r="AL238" s="269">
        <f t="shared" si="179"/>
        <v>0</v>
      </c>
      <c r="AM238" s="281" t="e">
        <f>IF(B238&gt;=mpfo,pos*vvm*Dados!$E$122*(ntudv-SUM(U239:$U$301))-SUM($AM$13:AM237),0)</f>
        <v>#DIV/0!</v>
      </c>
      <c r="AN238" s="269" t="e">
        <f t="shared" si="214"/>
        <v>#DIV/0!</v>
      </c>
      <c r="AO238" s="232" t="e">
        <f t="shared" si="215"/>
        <v>#DIV/0!</v>
      </c>
      <c r="AP238" s="242" t="e">
        <f t="shared" si="216"/>
        <v>#DIV/0!</v>
      </c>
      <c r="AQ238" s="235" t="e">
        <f>IF(AP238+SUM($AQ$12:AQ237)&gt;=0,0,-AP238-SUM($AQ$12:AQ237))</f>
        <v>#DIV/0!</v>
      </c>
      <c r="AR238" s="235">
        <f>IF(SUM($N$13:N237)&gt;=pmo,IF(SUM(N237:$N$501)&gt;(1-pmo),B238,0),0)</f>
        <v>0</v>
      </c>
      <c r="AS238" s="235" t="e">
        <f>IF((SUM($U$13:$U237)/ntudv)&gt;=pmv,IF((SUM($U237:$U$501)/ntudv)&gt;(1-pmv),B238,0),0)</f>
        <v>#DIV/0!</v>
      </c>
      <c r="AT238" s="237" t="e">
        <f>IF(MAX(mmo,mmv)=mmo,IF(B238=AR238,(SUM(N$13:$N237)-pmo)/((1-VLOOKUP(MAX(mmo,mmv)-1,$B$13:$O$501,14))+(VLOOKUP(MAX(mmo,mmv)-1,$B$13:$O$501,14)-pmo)),N237/((1-VLOOKUP(MAX(mmo,mmv)-1,$B$13:$O$501,14)+(VLOOKUP(MAX(mmo,mmv)-1,$B$13:$O$501,14)-pmo)))),N237/(1-VLOOKUP(MAX(mmo,mmv)-2,$B$13:$O$501,14)))</f>
        <v>#DIV/0!</v>
      </c>
      <c r="AU238" s="101" t="e">
        <f t="shared" si="180"/>
        <v>#DIV/0!</v>
      </c>
      <c r="AV238" s="287" t="e">
        <f t="shared" si="181"/>
        <v>#DIV/0!</v>
      </c>
      <c r="AW238" s="235" t="e">
        <f t="shared" si="217"/>
        <v>#DIV/0!</v>
      </c>
      <c r="AX238" s="281">
        <f>IF(B238&gt;mpfo,0,IF(B238=mpfo,(vld-teo*(1+tcfo-incc)^(MAX(mmo,mmv)-mbfo))*-1,IF(SUM($N$13:N237)&gt;=pmo,IF(($V237/ntudv)&gt;=pmv,IF(B238=MAX(mmo,mmv),-teo*(1+tcfo-incc)^(B238-mbfo),0),0),0)))</f>
        <v>0</v>
      </c>
      <c r="AY238" s="292" t="e">
        <f t="shared" si="182"/>
        <v>#DIV/0!</v>
      </c>
      <c r="AZ238" s="235" t="e">
        <f t="shared" si="218"/>
        <v>#DIV/0!</v>
      </c>
      <c r="BA238" s="269" t="e">
        <f t="shared" si="219"/>
        <v>#DIV/0!</v>
      </c>
      <c r="BB238" s="292" t="e">
        <f t="shared" si="220"/>
        <v>#DIV/0!</v>
      </c>
      <c r="BC238" s="238" t="e">
        <f>IF(SUM($BC$13:BC237)&gt;0,0,IF(BB238&gt;0,B238,0))</f>
        <v>#DIV/0!</v>
      </c>
      <c r="BD238" s="292" t="e">
        <f>IF(BB238+SUM($BD$12:BD237)&gt;=0,0,-BB238-SUM($BD$12:BD237))</f>
        <v>#DIV/0!</v>
      </c>
      <c r="BE238" s="235" t="e">
        <f>BB238+SUM($BD$12:BD238)</f>
        <v>#DIV/0!</v>
      </c>
      <c r="BF238" s="292" t="e">
        <f>-MIN(BE238:$BE$501)-SUM(BF$12:$BF237)</f>
        <v>#DIV/0!</v>
      </c>
      <c r="BG238" s="235" t="e">
        <f t="shared" si="185"/>
        <v>#DIV/0!</v>
      </c>
    </row>
    <row r="239" spans="2:59">
      <c r="B239" s="120">
        <v>226</v>
      </c>
      <c r="C239" s="241">
        <f t="shared" si="184"/>
        <v>49557</v>
      </c>
      <c r="D239" s="229">
        <f t="shared" si="186"/>
        <v>9</v>
      </c>
      <c r="E239" s="230" t="str">
        <f t="shared" si="187"/>
        <v>-</v>
      </c>
      <c r="F239" s="231">
        <f t="shared" si="188"/>
        <v>0</v>
      </c>
      <c r="G239" s="231">
        <f t="shared" si="189"/>
        <v>0</v>
      </c>
      <c r="H239" s="231">
        <f t="shared" si="190"/>
        <v>0</v>
      </c>
      <c r="I239" s="268">
        <f t="shared" si="175"/>
        <v>0</v>
      </c>
      <c r="J239" s="269">
        <f t="shared" si="191"/>
        <v>0</v>
      </c>
      <c r="K239" s="269">
        <f t="shared" si="192"/>
        <v>0</v>
      </c>
      <c r="L239" s="269">
        <f t="shared" si="176"/>
        <v>0</v>
      </c>
      <c r="M239" s="269">
        <f t="shared" si="177"/>
        <v>0</v>
      </c>
      <c r="N239" s="233">
        <f>VLOOKUP(B239,Dados!$L$86:$P$90,5)</f>
        <v>0</v>
      </c>
      <c r="O239" s="270">
        <f t="shared" si="193"/>
        <v>0.99999999999999989</v>
      </c>
      <c r="P239" s="269">
        <f t="shared" si="194"/>
        <v>0</v>
      </c>
      <c r="Q239" s="269" t="e">
        <f t="shared" si="195"/>
        <v>#DIV/0!</v>
      </c>
      <c r="R239" s="269">
        <f t="shared" si="196"/>
        <v>0</v>
      </c>
      <c r="S239" s="269" t="e">
        <f t="shared" si="197"/>
        <v>#DIV/0!</v>
      </c>
      <c r="T239" s="269" t="e">
        <f t="shared" si="183"/>
        <v>#DIV/0!</v>
      </c>
      <c r="U239" s="234">
        <f t="shared" si="198"/>
        <v>0</v>
      </c>
      <c r="V239" s="232" t="e">
        <f t="shared" si="199"/>
        <v>#DIV/0!</v>
      </c>
      <c r="W239" s="269" t="e">
        <f t="shared" si="200"/>
        <v>#DIV/0!</v>
      </c>
      <c r="X239" s="235">
        <f t="shared" si="178"/>
        <v>0</v>
      </c>
      <c r="Y239" s="236">
        <f t="shared" si="201"/>
        <v>5</v>
      </c>
      <c r="Z239" s="236" t="e">
        <f t="shared" si="202"/>
        <v>#DIV/0!</v>
      </c>
      <c r="AA239" s="236">
        <f t="shared" si="203"/>
        <v>3</v>
      </c>
      <c r="AB239" s="236" t="e">
        <f t="shared" si="204"/>
        <v>#DIV/0!</v>
      </c>
      <c r="AC239" s="235">
        <f t="shared" si="205"/>
        <v>0</v>
      </c>
      <c r="AD239" s="235">
        <f t="shared" si="206"/>
        <v>0</v>
      </c>
      <c r="AE239" s="279">
        <f t="shared" si="207"/>
        <v>0</v>
      </c>
      <c r="AF239" s="232">
        <f t="shared" si="208"/>
        <v>0</v>
      </c>
      <c r="AG239" s="235">
        <f t="shared" si="209"/>
        <v>0</v>
      </c>
      <c r="AH239" s="269">
        <f t="shared" si="210"/>
        <v>0</v>
      </c>
      <c r="AI239" s="232">
        <f t="shared" si="211"/>
        <v>0</v>
      </c>
      <c r="AJ239" s="235">
        <f t="shared" si="212"/>
        <v>0</v>
      </c>
      <c r="AK239" s="269">
        <f t="shared" si="213"/>
        <v>0</v>
      </c>
      <c r="AL239" s="269">
        <f t="shared" si="179"/>
        <v>0</v>
      </c>
      <c r="AM239" s="281" t="e">
        <f>IF(B239&gt;=mpfo,pos*vvm*Dados!$E$122*(ntudv-SUM(U240:$U$301))-SUM($AM$13:AM238),0)</f>
        <v>#DIV/0!</v>
      </c>
      <c r="AN239" s="269" t="e">
        <f t="shared" si="214"/>
        <v>#DIV/0!</v>
      </c>
      <c r="AO239" s="232" t="e">
        <f t="shared" si="215"/>
        <v>#DIV/0!</v>
      </c>
      <c r="AP239" s="242" t="e">
        <f t="shared" si="216"/>
        <v>#DIV/0!</v>
      </c>
      <c r="AQ239" s="235" t="e">
        <f>IF(AP239+SUM($AQ$12:AQ238)&gt;=0,0,-AP239-SUM($AQ$12:AQ238))</f>
        <v>#DIV/0!</v>
      </c>
      <c r="AR239" s="235">
        <f>IF(SUM($N$13:N238)&gt;=pmo,IF(SUM(N238:$N$501)&gt;(1-pmo),B239,0),0)</f>
        <v>0</v>
      </c>
      <c r="AS239" s="235" t="e">
        <f>IF((SUM($U$13:$U238)/ntudv)&gt;=pmv,IF((SUM($U238:$U$501)/ntudv)&gt;(1-pmv),B239,0),0)</f>
        <v>#DIV/0!</v>
      </c>
      <c r="AT239" s="237" t="e">
        <f>IF(MAX(mmo,mmv)=mmo,IF(B239=AR239,(SUM(N$13:$N238)-pmo)/((1-VLOOKUP(MAX(mmo,mmv)-1,$B$13:$O$501,14))+(VLOOKUP(MAX(mmo,mmv)-1,$B$13:$O$501,14)-pmo)),N238/((1-VLOOKUP(MAX(mmo,mmv)-1,$B$13:$O$501,14)+(VLOOKUP(MAX(mmo,mmv)-1,$B$13:$O$501,14)-pmo)))),N238/(1-VLOOKUP(MAX(mmo,mmv)-2,$B$13:$O$501,14)))</f>
        <v>#DIV/0!</v>
      </c>
      <c r="AU239" s="101" t="e">
        <f t="shared" si="180"/>
        <v>#DIV/0!</v>
      </c>
      <c r="AV239" s="287" t="e">
        <f t="shared" si="181"/>
        <v>#DIV/0!</v>
      </c>
      <c r="AW239" s="235" t="e">
        <f t="shared" si="217"/>
        <v>#DIV/0!</v>
      </c>
      <c r="AX239" s="281">
        <f>IF(B239&gt;mpfo,0,IF(B239=mpfo,(vld-teo*(1+tcfo-incc)^(MAX(mmo,mmv)-mbfo))*-1,IF(SUM($N$13:N238)&gt;=pmo,IF(($V238/ntudv)&gt;=pmv,IF(B239=MAX(mmo,mmv),-teo*(1+tcfo-incc)^(B239-mbfo),0),0),0)))</f>
        <v>0</v>
      </c>
      <c r="AY239" s="292" t="e">
        <f t="shared" si="182"/>
        <v>#DIV/0!</v>
      </c>
      <c r="AZ239" s="235" t="e">
        <f t="shared" si="218"/>
        <v>#DIV/0!</v>
      </c>
      <c r="BA239" s="269" t="e">
        <f t="shared" si="219"/>
        <v>#DIV/0!</v>
      </c>
      <c r="BB239" s="292" t="e">
        <f t="shared" si="220"/>
        <v>#DIV/0!</v>
      </c>
      <c r="BC239" s="238" t="e">
        <f>IF(SUM($BC$13:BC238)&gt;0,0,IF(BB239&gt;0,B239,0))</f>
        <v>#DIV/0!</v>
      </c>
      <c r="BD239" s="292" t="e">
        <f>IF(BB239+SUM($BD$12:BD238)&gt;=0,0,-BB239-SUM($BD$12:BD238))</f>
        <v>#DIV/0!</v>
      </c>
      <c r="BE239" s="235" t="e">
        <f>BB239+SUM($BD$12:BD239)</f>
        <v>#DIV/0!</v>
      </c>
      <c r="BF239" s="292" t="e">
        <f>-MIN(BE239:$BE$501)-SUM(BF$12:$BF238)</f>
        <v>#DIV/0!</v>
      </c>
      <c r="BG239" s="235" t="e">
        <f t="shared" si="185"/>
        <v>#DIV/0!</v>
      </c>
    </row>
    <row r="240" spans="2:59">
      <c r="B240" s="246">
        <v>227</v>
      </c>
      <c r="C240" s="241">
        <f t="shared" si="184"/>
        <v>49587</v>
      </c>
      <c r="D240" s="229">
        <f t="shared" si="186"/>
        <v>10</v>
      </c>
      <c r="E240" s="230" t="str">
        <f t="shared" si="187"/>
        <v>-</v>
      </c>
      <c r="F240" s="231">
        <f t="shared" si="188"/>
        <v>0</v>
      </c>
      <c r="G240" s="231">
        <f t="shared" si="189"/>
        <v>0</v>
      </c>
      <c r="H240" s="231">
        <f t="shared" si="190"/>
        <v>0</v>
      </c>
      <c r="I240" s="268">
        <f t="shared" si="175"/>
        <v>0</v>
      </c>
      <c r="J240" s="269">
        <f t="shared" si="191"/>
        <v>0</v>
      </c>
      <c r="K240" s="269">
        <f t="shared" si="192"/>
        <v>0</v>
      </c>
      <c r="L240" s="269">
        <f t="shared" si="176"/>
        <v>0</v>
      </c>
      <c r="M240" s="269">
        <f t="shared" si="177"/>
        <v>0</v>
      </c>
      <c r="N240" s="233">
        <f>VLOOKUP(B240,Dados!$L$86:$P$90,5)</f>
        <v>0</v>
      </c>
      <c r="O240" s="270">
        <f t="shared" si="193"/>
        <v>0.99999999999999989</v>
      </c>
      <c r="P240" s="269">
        <f t="shared" si="194"/>
        <v>0</v>
      </c>
      <c r="Q240" s="269" t="e">
        <f t="shared" si="195"/>
        <v>#DIV/0!</v>
      </c>
      <c r="R240" s="269">
        <f t="shared" si="196"/>
        <v>0</v>
      </c>
      <c r="S240" s="269" t="e">
        <f t="shared" si="197"/>
        <v>#DIV/0!</v>
      </c>
      <c r="T240" s="269" t="e">
        <f t="shared" si="183"/>
        <v>#DIV/0!</v>
      </c>
      <c r="U240" s="234">
        <f t="shared" si="198"/>
        <v>0</v>
      </c>
      <c r="V240" s="232" t="e">
        <f t="shared" si="199"/>
        <v>#DIV/0!</v>
      </c>
      <c r="W240" s="269" t="e">
        <f t="shared" si="200"/>
        <v>#DIV/0!</v>
      </c>
      <c r="X240" s="235">
        <f t="shared" si="178"/>
        <v>0</v>
      </c>
      <c r="Y240" s="236">
        <f t="shared" si="201"/>
        <v>5</v>
      </c>
      <c r="Z240" s="236" t="e">
        <f t="shared" si="202"/>
        <v>#DIV/0!</v>
      </c>
      <c r="AA240" s="236">
        <f t="shared" si="203"/>
        <v>3</v>
      </c>
      <c r="AB240" s="236" t="e">
        <f t="shared" si="204"/>
        <v>#DIV/0!</v>
      </c>
      <c r="AC240" s="235">
        <f t="shared" si="205"/>
        <v>0</v>
      </c>
      <c r="AD240" s="235">
        <f t="shared" si="206"/>
        <v>0</v>
      </c>
      <c r="AE240" s="279">
        <f t="shared" si="207"/>
        <v>0</v>
      </c>
      <c r="AF240" s="232">
        <f t="shared" si="208"/>
        <v>0</v>
      </c>
      <c r="AG240" s="235">
        <f t="shared" si="209"/>
        <v>0</v>
      </c>
      <c r="AH240" s="269">
        <f t="shared" si="210"/>
        <v>0</v>
      </c>
      <c r="AI240" s="232">
        <f t="shared" si="211"/>
        <v>0</v>
      </c>
      <c r="AJ240" s="235">
        <f t="shared" si="212"/>
        <v>0</v>
      </c>
      <c r="AK240" s="269">
        <f t="shared" si="213"/>
        <v>0</v>
      </c>
      <c r="AL240" s="269">
        <f t="shared" si="179"/>
        <v>0</v>
      </c>
      <c r="AM240" s="281" t="e">
        <f>IF(B240&gt;=mpfo,pos*vvm*Dados!$E$122*(ntudv-SUM(U241:$U$301))-SUM($AM$13:AM239),0)</f>
        <v>#DIV/0!</v>
      </c>
      <c r="AN240" s="269" t="e">
        <f t="shared" si="214"/>
        <v>#DIV/0!</v>
      </c>
      <c r="AO240" s="232" t="e">
        <f t="shared" si="215"/>
        <v>#DIV/0!</v>
      </c>
      <c r="AP240" s="242" t="e">
        <f t="shared" si="216"/>
        <v>#DIV/0!</v>
      </c>
      <c r="AQ240" s="235" t="e">
        <f>IF(AP240+SUM($AQ$12:AQ239)&gt;=0,0,-AP240-SUM($AQ$12:AQ239))</f>
        <v>#DIV/0!</v>
      </c>
      <c r="AR240" s="235">
        <f>IF(SUM($N$13:N239)&gt;=pmo,IF(SUM(N239:$N$501)&gt;(1-pmo),B240,0),0)</f>
        <v>0</v>
      </c>
      <c r="AS240" s="235" t="e">
        <f>IF((SUM($U$13:$U239)/ntudv)&gt;=pmv,IF((SUM($U239:$U$501)/ntudv)&gt;(1-pmv),B240,0),0)</f>
        <v>#DIV/0!</v>
      </c>
      <c r="AT240" s="237" t="e">
        <f>IF(MAX(mmo,mmv)=mmo,IF(B240=AR240,(SUM(N$13:$N239)-pmo)/((1-VLOOKUP(MAX(mmo,mmv)-1,$B$13:$O$501,14))+(VLOOKUP(MAX(mmo,mmv)-1,$B$13:$O$501,14)-pmo)),N239/((1-VLOOKUP(MAX(mmo,mmv)-1,$B$13:$O$501,14)+(VLOOKUP(MAX(mmo,mmv)-1,$B$13:$O$501,14)-pmo)))),N239/(1-VLOOKUP(MAX(mmo,mmv)-2,$B$13:$O$501,14)))</f>
        <v>#DIV/0!</v>
      </c>
      <c r="AU240" s="101" t="e">
        <f t="shared" si="180"/>
        <v>#DIV/0!</v>
      </c>
      <c r="AV240" s="287" t="e">
        <f t="shared" si="181"/>
        <v>#DIV/0!</v>
      </c>
      <c r="AW240" s="235" t="e">
        <f t="shared" si="217"/>
        <v>#DIV/0!</v>
      </c>
      <c r="AX240" s="281">
        <f>IF(B240&gt;mpfo,0,IF(B240=mpfo,(vld-teo*(1+tcfo-incc)^(MAX(mmo,mmv)-mbfo))*-1,IF(SUM($N$13:N239)&gt;=pmo,IF(($V239/ntudv)&gt;=pmv,IF(B240=MAX(mmo,mmv),-teo*(1+tcfo-incc)^(B240-mbfo),0),0),0)))</f>
        <v>0</v>
      </c>
      <c r="AY240" s="292" t="e">
        <f t="shared" si="182"/>
        <v>#DIV/0!</v>
      </c>
      <c r="AZ240" s="235" t="e">
        <f t="shared" si="218"/>
        <v>#DIV/0!</v>
      </c>
      <c r="BA240" s="269" t="e">
        <f t="shared" si="219"/>
        <v>#DIV/0!</v>
      </c>
      <c r="BB240" s="292" t="e">
        <f t="shared" si="220"/>
        <v>#DIV/0!</v>
      </c>
      <c r="BC240" s="238" t="e">
        <f>IF(SUM($BC$13:BC239)&gt;0,0,IF(BB240&gt;0,B240,0))</f>
        <v>#DIV/0!</v>
      </c>
      <c r="BD240" s="292" t="e">
        <f>IF(BB240+SUM($BD$12:BD239)&gt;=0,0,-BB240-SUM($BD$12:BD239))</f>
        <v>#DIV/0!</v>
      </c>
      <c r="BE240" s="235" t="e">
        <f>BB240+SUM($BD$12:BD240)</f>
        <v>#DIV/0!</v>
      </c>
      <c r="BF240" s="292" t="e">
        <f>-MIN(BE240:$BE$501)-SUM(BF$12:$BF239)</f>
        <v>#DIV/0!</v>
      </c>
      <c r="BG240" s="235" t="e">
        <f t="shared" si="185"/>
        <v>#DIV/0!</v>
      </c>
    </row>
    <row r="241" spans="2:59">
      <c r="B241" s="120">
        <v>228</v>
      </c>
      <c r="C241" s="241">
        <f t="shared" si="184"/>
        <v>49618</v>
      </c>
      <c r="D241" s="229">
        <f t="shared" si="186"/>
        <v>11</v>
      </c>
      <c r="E241" s="230" t="str">
        <f t="shared" si="187"/>
        <v>-</v>
      </c>
      <c r="F241" s="231">
        <f t="shared" si="188"/>
        <v>0</v>
      </c>
      <c r="G241" s="231">
        <f t="shared" si="189"/>
        <v>0</v>
      </c>
      <c r="H241" s="231">
        <f t="shared" si="190"/>
        <v>0</v>
      </c>
      <c r="I241" s="268">
        <f t="shared" si="175"/>
        <v>0</v>
      </c>
      <c r="J241" s="269">
        <f t="shared" si="191"/>
        <v>0</v>
      </c>
      <c r="K241" s="269">
        <f t="shared" si="192"/>
        <v>0</v>
      </c>
      <c r="L241" s="269">
        <f t="shared" si="176"/>
        <v>0</v>
      </c>
      <c r="M241" s="269">
        <f t="shared" si="177"/>
        <v>0</v>
      </c>
      <c r="N241" s="233">
        <f>VLOOKUP(B241,Dados!$L$86:$P$90,5)</f>
        <v>0</v>
      </c>
      <c r="O241" s="270">
        <f t="shared" si="193"/>
        <v>0.99999999999999989</v>
      </c>
      <c r="P241" s="269">
        <f t="shared" si="194"/>
        <v>0</v>
      </c>
      <c r="Q241" s="269" t="e">
        <f t="shared" si="195"/>
        <v>#DIV/0!</v>
      </c>
      <c r="R241" s="269">
        <f t="shared" si="196"/>
        <v>0</v>
      </c>
      <c r="S241" s="269" t="e">
        <f t="shared" si="197"/>
        <v>#DIV/0!</v>
      </c>
      <c r="T241" s="269" t="e">
        <f t="shared" si="183"/>
        <v>#DIV/0!</v>
      </c>
      <c r="U241" s="234">
        <f t="shared" si="198"/>
        <v>0</v>
      </c>
      <c r="V241" s="232" t="e">
        <f t="shared" si="199"/>
        <v>#DIV/0!</v>
      </c>
      <c r="W241" s="269" t="e">
        <f t="shared" si="200"/>
        <v>#DIV/0!</v>
      </c>
      <c r="X241" s="235">
        <f t="shared" si="178"/>
        <v>0</v>
      </c>
      <c r="Y241" s="236">
        <f t="shared" si="201"/>
        <v>5</v>
      </c>
      <c r="Z241" s="236" t="e">
        <f t="shared" si="202"/>
        <v>#DIV/0!</v>
      </c>
      <c r="AA241" s="236">
        <f t="shared" si="203"/>
        <v>3</v>
      </c>
      <c r="AB241" s="236" t="e">
        <f t="shared" si="204"/>
        <v>#DIV/0!</v>
      </c>
      <c r="AC241" s="235">
        <f t="shared" si="205"/>
        <v>0</v>
      </c>
      <c r="AD241" s="235">
        <f t="shared" si="206"/>
        <v>0</v>
      </c>
      <c r="AE241" s="279">
        <f t="shared" si="207"/>
        <v>0</v>
      </c>
      <c r="AF241" s="232">
        <f t="shared" si="208"/>
        <v>0</v>
      </c>
      <c r="AG241" s="235">
        <f t="shared" si="209"/>
        <v>0</v>
      </c>
      <c r="AH241" s="269">
        <f t="shared" si="210"/>
        <v>0</v>
      </c>
      <c r="AI241" s="232">
        <f t="shared" si="211"/>
        <v>0</v>
      </c>
      <c r="AJ241" s="235">
        <f t="shared" si="212"/>
        <v>0</v>
      </c>
      <c r="AK241" s="269">
        <f t="shared" si="213"/>
        <v>0</v>
      </c>
      <c r="AL241" s="269">
        <f t="shared" si="179"/>
        <v>0</v>
      </c>
      <c r="AM241" s="281" t="e">
        <f>IF(B241&gt;=mpfo,pos*vvm*Dados!$E$122*(ntudv-SUM(U242:$U$301))-SUM($AM$13:AM240),0)</f>
        <v>#DIV/0!</v>
      </c>
      <c r="AN241" s="269" t="e">
        <f t="shared" si="214"/>
        <v>#DIV/0!</v>
      </c>
      <c r="AO241" s="232" t="e">
        <f t="shared" si="215"/>
        <v>#DIV/0!</v>
      </c>
      <c r="AP241" s="242" t="e">
        <f t="shared" si="216"/>
        <v>#DIV/0!</v>
      </c>
      <c r="AQ241" s="235" t="e">
        <f>IF(AP241+SUM($AQ$12:AQ240)&gt;=0,0,-AP241-SUM($AQ$12:AQ240))</f>
        <v>#DIV/0!</v>
      </c>
      <c r="AR241" s="235">
        <f>IF(SUM($N$13:N240)&gt;=pmo,IF(SUM(N240:$N$501)&gt;(1-pmo),B241,0),0)</f>
        <v>0</v>
      </c>
      <c r="AS241" s="235" t="e">
        <f>IF((SUM($U$13:$U240)/ntudv)&gt;=pmv,IF((SUM($U240:$U$501)/ntudv)&gt;(1-pmv),B241,0),0)</f>
        <v>#DIV/0!</v>
      </c>
      <c r="AT241" s="237" t="e">
        <f>IF(MAX(mmo,mmv)=mmo,IF(B241=AR241,(SUM(N$13:$N240)-pmo)/((1-VLOOKUP(MAX(mmo,mmv)-1,$B$13:$O$501,14))+(VLOOKUP(MAX(mmo,mmv)-1,$B$13:$O$501,14)-pmo)),N240/((1-VLOOKUP(MAX(mmo,mmv)-1,$B$13:$O$501,14)+(VLOOKUP(MAX(mmo,mmv)-1,$B$13:$O$501,14)-pmo)))),N240/(1-VLOOKUP(MAX(mmo,mmv)-2,$B$13:$O$501,14)))</f>
        <v>#DIV/0!</v>
      </c>
      <c r="AU241" s="101" t="e">
        <f t="shared" si="180"/>
        <v>#DIV/0!</v>
      </c>
      <c r="AV241" s="287" t="e">
        <f t="shared" si="181"/>
        <v>#DIV/0!</v>
      </c>
      <c r="AW241" s="235" t="e">
        <f t="shared" si="217"/>
        <v>#DIV/0!</v>
      </c>
      <c r="AX241" s="281">
        <f>IF(B241&gt;mpfo,0,IF(B241=mpfo,(vld-teo*(1+tcfo-incc)^(MAX(mmo,mmv)-mbfo))*-1,IF(SUM($N$13:N240)&gt;=pmo,IF(($V240/ntudv)&gt;=pmv,IF(B241=MAX(mmo,mmv),-teo*(1+tcfo-incc)^(B241-mbfo),0),0),0)))</f>
        <v>0</v>
      </c>
      <c r="AY241" s="292" t="e">
        <f t="shared" si="182"/>
        <v>#DIV/0!</v>
      </c>
      <c r="AZ241" s="235" t="e">
        <f t="shared" si="218"/>
        <v>#DIV/0!</v>
      </c>
      <c r="BA241" s="269" t="e">
        <f t="shared" si="219"/>
        <v>#DIV/0!</v>
      </c>
      <c r="BB241" s="292" t="e">
        <f t="shared" si="220"/>
        <v>#DIV/0!</v>
      </c>
      <c r="BC241" s="238" t="e">
        <f>IF(SUM($BC$13:BC240)&gt;0,0,IF(BB241&gt;0,B241,0))</f>
        <v>#DIV/0!</v>
      </c>
      <c r="BD241" s="292" t="e">
        <f>IF(BB241+SUM($BD$12:BD240)&gt;=0,0,-BB241-SUM($BD$12:BD240))</f>
        <v>#DIV/0!</v>
      </c>
      <c r="BE241" s="235" t="e">
        <f>BB241+SUM($BD$12:BD241)</f>
        <v>#DIV/0!</v>
      </c>
      <c r="BF241" s="292" t="e">
        <f>-MIN(BE241:$BE$501)-SUM(BF$12:$BF240)</f>
        <v>#DIV/0!</v>
      </c>
      <c r="BG241" s="235" t="e">
        <f t="shared" si="185"/>
        <v>#DIV/0!</v>
      </c>
    </row>
    <row r="242" spans="2:59">
      <c r="B242" s="246">
        <v>229</v>
      </c>
      <c r="C242" s="241">
        <f t="shared" si="184"/>
        <v>49648</v>
      </c>
      <c r="D242" s="229">
        <f t="shared" si="186"/>
        <v>12</v>
      </c>
      <c r="E242" s="230" t="str">
        <f t="shared" si="187"/>
        <v>-</v>
      </c>
      <c r="F242" s="231">
        <f t="shared" si="188"/>
        <v>0</v>
      </c>
      <c r="G242" s="231">
        <f t="shared" si="189"/>
        <v>0</v>
      </c>
      <c r="H242" s="231">
        <f t="shared" si="190"/>
        <v>0</v>
      </c>
      <c r="I242" s="268">
        <f t="shared" si="175"/>
        <v>0</v>
      </c>
      <c r="J242" s="269">
        <f t="shared" si="191"/>
        <v>0</v>
      </c>
      <c r="K242" s="269">
        <f t="shared" si="192"/>
        <v>0</v>
      </c>
      <c r="L242" s="269">
        <f t="shared" si="176"/>
        <v>0</v>
      </c>
      <c r="M242" s="269">
        <f t="shared" si="177"/>
        <v>0</v>
      </c>
      <c r="N242" s="233">
        <f>VLOOKUP(B242,Dados!$L$86:$P$90,5)</f>
        <v>0</v>
      </c>
      <c r="O242" s="270">
        <f t="shared" si="193"/>
        <v>0.99999999999999989</v>
      </c>
      <c r="P242" s="269">
        <f t="shared" si="194"/>
        <v>0</v>
      </c>
      <c r="Q242" s="269" t="e">
        <f t="shared" si="195"/>
        <v>#DIV/0!</v>
      </c>
      <c r="R242" s="269">
        <f t="shared" si="196"/>
        <v>0</v>
      </c>
      <c r="S242" s="269" t="e">
        <f t="shared" si="197"/>
        <v>#DIV/0!</v>
      </c>
      <c r="T242" s="269" t="e">
        <f t="shared" si="183"/>
        <v>#DIV/0!</v>
      </c>
      <c r="U242" s="234">
        <f t="shared" si="198"/>
        <v>0</v>
      </c>
      <c r="V242" s="232" t="e">
        <f t="shared" si="199"/>
        <v>#DIV/0!</v>
      </c>
      <c r="W242" s="269" t="e">
        <f t="shared" si="200"/>
        <v>#DIV/0!</v>
      </c>
      <c r="X242" s="235">
        <f t="shared" si="178"/>
        <v>0</v>
      </c>
      <c r="Y242" s="236">
        <f t="shared" si="201"/>
        <v>5</v>
      </c>
      <c r="Z242" s="236" t="e">
        <f t="shared" si="202"/>
        <v>#DIV/0!</v>
      </c>
      <c r="AA242" s="236">
        <f t="shared" si="203"/>
        <v>3</v>
      </c>
      <c r="AB242" s="236" t="e">
        <f t="shared" si="204"/>
        <v>#DIV/0!</v>
      </c>
      <c r="AC242" s="235">
        <f t="shared" si="205"/>
        <v>0</v>
      </c>
      <c r="AD242" s="235">
        <f t="shared" si="206"/>
        <v>0</v>
      </c>
      <c r="AE242" s="279">
        <f t="shared" si="207"/>
        <v>0</v>
      </c>
      <c r="AF242" s="232">
        <f t="shared" si="208"/>
        <v>1</v>
      </c>
      <c r="AG242" s="235">
        <f t="shared" si="209"/>
        <v>0</v>
      </c>
      <c r="AH242" s="269">
        <f t="shared" si="210"/>
        <v>0</v>
      </c>
      <c r="AI242" s="232">
        <f t="shared" si="211"/>
        <v>1</v>
      </c>
      <c r="AJ242" s="235">
        <f t="shared" si="212"/>
        <v>0</v>
      </c>
      <c r="AK242" s="269">
        <f t="shared" si="213"/>
        <v>0</v>
      </c>
      <c r="AL242" s="269">
        <f t="shared" si="179"/>
        <v>0</v>
      </c>
      <c r="AM242" s="281" t="e">
        <f>IF(B242&gt;=mpfo,pos*vvm*Dados!$E$122*(ntudv-SUM(U243:$U$301))-SUM($AM$13:AM241),0)</f>
        <v>#DIV/0!</v>
      </c>
      <c r="AN242" s="269" t="e">
        <f t="shared" si="214"/>
        <v>#DIV/0!</v>
      </c>
      <c r="AO242" s="232" t="e">
        <f t="shared" si="215"/>
        <v>#DIV/0!</v>
      </c>
      <c r="AP242" s="242" t="e">
        <f t="shared" si="216"/>
        <v>#DIV/0!</v>
      </c>
      <c r="AQ242" s="235" t="e">
        <f>IF(AP242+SUM($AQ$12:AQ241)&gt;=0,0,-AP242-SUM($AQ$12:AQ241))</f>
        <v>#DIV/0!</v>
      </c>
      <c r="AR242" s="235">
        <f>IF(SUM($N$13:N241)&gt;=pmo,IF(SUM(N241:$N$501)&gt;(1-pmo),B242,0),0)</f>
        <v>0</v>
      </c>
      <c r="AS242" s="235" t="e">
        <f>IF((SUM($U$13:$U241)/ntudv)&gt;=pmv,IF((SUM($U241:$U$501)/ntudv)&gt;(1-pmv),B242,0),0)</f>
        <v>#DIV/0!</v>
      </c>
      <c r="AT242" s="237" t="e">
        <f>IF(MAX(mmo,mmv)=mmo,IF(B242=AR242,(SUM(N$13:$N241)-pmo)/((1-VLOOKUP(MAX(mmo,mmv)-1,$B$13:$O$501,14))+(VLOOKUP(MAX(mmo,mmv)-1,$B$13:$O$501,14)-pmo)),N241/((1-VLOOKUP(MAX(mmo,mmv)-1,$B$13:$O$501,14)+(VLOOKUP(MAX(mmo,mmv)-1,$B$13:$O$501,14)-pmo)))),N241/(1-VLOOKUP(MAX(mmo,mmv)-2,$B$13:$O$501,14)))</f>
        <v>#DIV/0!</v>
      </c>
      <c r="AU242" s="101" t="e">
        <f t="shared" si="180"/>
        <v>#DIV/0!</v>
      </c>
      <c r="AV242" s="287" t="e">
        <f t="shared" si="181"/>
        <v>#DIV/0!</v>
      </c>
      <c r="AW242" s="235" t="e">
        <f t="shared" si="217"/>
        <v>#DIV/0!</v>
      </c>
      <c r="AX242" s="281">
        <f>IF(B242&gt;mpfo,0,IF(B242=mpfo,(vld-teo*(1+tcfo-incc)^(MAX(mmo,mmv)-mbfo))*-1,IF(SUM($N$13:N241)&gt;=pmo,IF(($V241/ntudv)&gt;=pmv,IF(B242=MAX(mmo,mmv),-teo*(1+tcfo-incc)^(B242-mbfo),0),0),0)))</f>
        <v>0</v>
      </c>
      <c r="AY242" s="292" t="e">
        <f t="shared" si="182"/>
        <v>#DIV/0!</v>
      </c>
      <c r="AZ242" s="235" t="e">
        <f t="shared" si="218"/>
        <v>#DIV/0!</v>
      </c>
      <c r="BA242" s="269" t="e">
        <f t="shared" si="219"/>
        <v>#DIV/0!</v>
      </c>
      <c r="BB242" s="292" t="e">
        <f t="shared" si="220"/>
        <v>#DIV/0!</v>
      </c>
      <c r="BC242" s="238" t="e">
        <f>IF(SUM($BC$13:BC241)&gt;0,0,IF(BB242&gt;0,B242,0))</f>
        <v>#DIV/0!</v>
      </c>
      <c r="BD242" s="292" t="e">
        <f>IF(BB242+SUM($BD$12:BD241)&gt;=0,0,-BB242-SUM($BD$12:BD241))</f>
        <v>#DIV/0!</v>
      </c>
      <c r="BE242" s="235" t="e">
        <f>BB242+SUM($BD$12:BD242)</f>
        <v>#DIV/0!</v>
      </c>
      <c r="BF242" s="292" t="e">
        <f>-MIN(BE242:$BE$501)-SUM(BF$12:$BF241)</f>
        <v>#DIV/0!</v>
      </c>
      <c r="BG242" s="235" t="e">
        <f t="shared" si="185"/>
        <v>#DIV/0!</v>
      </c>
    </row>
    <row r="243" spans="2:59">
      <c r="B243" s="120">
        <v>230</v>
      </c>
      <c r="C243" s="241">
        <f t="shared" si="184"/>
        <v>49679</v>
      </c>
      <c r="D243" s="229">
        <f t="shared" si="186"/>
        <v>1</v>
      </c>
      <c r="E243" s="230" t="str">
        <f t="shared" si="187"/>
        <v>-</v>
      </c>
      <c r="F243" s="231">
        <f t="shared" si="188"/>
        <v>0</v>
      </c>
      <c r="G243" s="231">
        <f t="shared" si="189"/>
        <v>0</v>
      </c>
      <c r="H243" s="231">
        <f t="shared" si="190"/>
        <v>0</v>
      </c>
      <c r="I243" s="268">
        <f t="shared" si="175"/>
        <v>0</v>
      </c>
      <c r="J243" s="269">
        <f t="shared" si="191"/>
        <v>0</v>
      </c>
      <c r="K243" s="269">
        <f t="shared" si="192"/>
        <v>0</v>
      </c>
      <c r="L243" s="269">
        <f t="shared" si="176"/>
        <v>0</v>
      </c>
      <c r="M243" s="269">
        <f t="shared" si="177"/>
        <v>0</v>
      </c>
      <c r="N243" s="233">
        <f>VLOOKUP(B243,Dados!$L$86:$P$90,5)</f>
        <v>0</v>
      </c>
      <c r="O243" s="270">
        <f t="shared" si="193"/>
        <v>0.99999999999999989</v>
      </c>
      <c r="P243" s="269">
        <f t="shared" si="194"/>
        <v>0</v>
      </c>
      <c r="Q243" s="269" t="e">
        <f t="shared" si="195"/>
        <v>#DIV/0!</v>
      </c>
      <c r="R243" s="269">
        <f t="shared" si="196"/>
        <v>0</v>
      </c>
      <c r="S243" s="269" t="e">
        <f t="shared" si="197"/>
        <v>#DIV/0!</v>
      </c>
      <c r="T243" s="269" t="e">
        <f t="shared" si="183"/>
        <v>#DIV/0!</v>
      </c>
      <c r="U243" s="234">
        <f t="shared" si="198"/>
        <v>0</v>
      </c>
      <c r="V243" s="232" t="e">
        <f t="shared" si="199"/>
        <v>#DIV/0!</v>
      </c>
      <c r="W243" s="269" t="e">
        <f t="shared" si="200"/>
        <v>#DIV/0!</v>
      </c>
      <c r="X243" s="235">
        <f t="shared" si="178"/>
        <v>0</v>
      </c>
      <c r="Y243" s="236">
        <f t="shared" si="201"/>
        <v>5</v>
      </c>
      <c r="Z243" s="236" t="e">
        <f t="shared" si="202"/>
        <v>#DIV/0!</v>
      </c>
      <c r="AA243" s="236">
        <f t="shared" si="203"/>
        <v>3</v>
      </c>
      <c r="AB243" s="236" t="e">
        <f t="shared" si="204"/>
        <v>#DIV/0!</v>
      </c>
      <c r="AC243" s="235">
        <f t="shared" si="205"/>
        <v>0</v>
      </c>
      <c r="AD243" s="235">
        <f t="shared" si="206"/>
        <v>0</v>
      </c>
      <c r="AE243" s="279">
        <f t="shared" si="207"/>
        <v>0</v>
      </c>
      <c r="AF243" s="232">
        <f t="shared" si="208"/>
        <v>0</v>
      </c>
      <c r="AG243" s="235">
        <f t="shared" si="209"/>
        <v>0</v>
      </c>
      <c r="AH243" s="269">
        <f t="shared" si="210"/>
        <v>0</v>
      </c>
      <c r="AI243" s="232">
        <f t="shared" si="211"/>
        <v>0</v>
      </c>
      <c r="AJ243" s="235">
        <f t="shared" si="212"/>
        <v>0</v>
      </c>
      <c r="AK243" s="269">
        <f t="shared" si="213"/>
        <v>0</v>
      </c>
      <c r="AL243" s="269">
        <f t="shared" si="179"/>
        <v>0</v>
      </c>
      <c r="AM243" s="281" t="e">
        <f>IF(B243&gt;=mpfo,pos*vvm*Dados!$E$122*(ntudv-SUM(U244:$U$301))-SUM($AM$13:AM242),0)</f>
        <v>#DIV/0!</v>
      </c>
      <c r="AN243" s="269" t="e">
        <f t="shared" si="214"/>
        <v>#DIV/0!</v>
      </c>
      <c r="AO243" s="232" t="e">
        <f t="shared" si="215"/>
        <v>#DIV/0!</v>
      </c>
      <c r="AP243" s="242" t="e">
        <f t="shared" si="216"/>
        <v>#DIV/0!</v>
      </c>
      <c r="AQ243" s="235" t="e">
        <f>IF(AP243+SUM($AQ$12:AQ242)&gt;=0,0,-AP243-SUM($AQ$12:AQ242))</f>
        <v>#DIV/0!</v>
      </c>
      <c r="AR243" s="235">
        <f>IF(SUM($N$13:N242)&gt;=pmo,IF(SUM(N242:$N$501)&gt;(1-pmo),B243,0),0)</f>
        <v>0</v>
      </c>
      <c r="AS243" s="235" t="e">
        <f>IF((SUM($U$13:$U242)/ntudv)&gt;=pmv,IF((SUM($U242:$U$501)/ntudv)&gt;(1-pmv),B243,0),0)</f>
        <v>#DIV/0!</v>
      </c>
      <c r="AT243" s="237" t="e">
        <f>IF(MAX(mmo,mmv)=mmo,IF(B243=AR243,(SUM(N$13:$N242)-pmo)/((1-VLOOKUP(MAX(mmo,mmv)-1,$B$13:$O$501,14))+(VLOOKUP(MAX(mmo,mmv)-1,$B$13:$O$501,14)-pmo)),N242/((1-VLOOKUP(MAX(mmo,mmv)-1,$B$13:$O$501,14)+(VLOOKUP(MAX(mmo,mmv)-1,$B$13:$O$501,14)-pmo)))),N242/(1-VLOOKUP(MAX(mmo,mmv)-2,$B$13:$O$501,14)))</f>
        <v>#DIV/0!</v>
      </c>
      <c r="AU243" s="101" t="e">
        <f t="shared" si="180"/>
        <v>#DIV/0!</v>
      </c>
      <c r="AV243" s="287" t="e">
        <f t="shared" si="181"/>
        <v>#DIV/0!</v>
      </c>
      <c r="AW243" s="235" t="e">
        <f t="shared" si="217"/>
        <v>#DIV/0!</v>
      </c>
      <c r="AX243" s="281">
        <f>IF(B243&gt;mpfo,0,IF(B243=mpfo,(vld-teo*(1+tcfo-incc)^(MAX(mmo,mmv)-mbfo))*-1,IF(SUM($N$13:N242)&gt;=pmo,IF(($V242/ntudv)&gt;=pmv,IF(B243=MAX(mmo,mmv),-teo*(1+tcfo-incc)^(B243-mbfo),0),0),0)))</f>
        <v>0</v>
      </c>
      <c r="AY243" s="292" t="e">
        <f t="shared" si="182"/>
        <v>#DIV/0!</v>
      </c>
      <c r="AZ243" s="235" t="e">
        <f t="shared" si="218"/>
        <v>#DIV/0!</v>
      </c>
      <c r="BA243" s="269" t="e">
        <f t="shared" si="219"/>
        <v>#DIV/0!</v>
      </c>
      <c r="BB243" s="292" t="e">
        <f t="shared" si="220"/>
        <v>#DIV/0!</v>
      </c>
      <c r="BC243" s="238" t="e">
        <f>IF(SUM($BC$13:BC242)&gt;0,0,IF(BB243&gt;0,B243,0))</f>
        <v>#DIV/0!</v>
      </c>
      <c r="BD243" s="292" t="e">
        <f>IF(BB243+SUM($BD$12:BD242)&gt;=0,0,-BB243-SUM($BD$12:BD242))</f>
        <v>#DIV/0!</v>
      </c>
      <c r="BE243" s="235" t="e">
        <f>BB243+SUM($BD$12:BD243)</f>
        <v>#DIV/0!</v>
      </c>
      <c r="BF243" s="292" t="e">
        <f>-MIN(BE243:$BE$501)-SUM(BF$12:$BF242)</f>
        <v>#DIV/0!</v>
      </c>
      <c r="BG243" s="235" t="e">
        <f t="shared" si="185"/>
        <v>#DIV/0!</v>
      </c>
    </row>
    <row r="244" spans="2:59">
      <c r="B244" s="246">
        <v>231</v>
      </c>
      <c r="C244" s="241">
        <f t="shared" si="184"/>
        <v>49710</v>
      </c>
      <c r="D244" s="229">
        <f t="shared" si="186"/>
        <v>2</v>
      </c>
      <c r="E244" s="230" t="str">
        <f t="shared" si="187"/>
        <v>-</v>
      </c>
      <c r="F244" s="231">
        <f t="shared" si="188"/>
        <v>0</v>
      </c>
      <c r="G244" s="231">
        <f t="shared" si="189"/>
        <v>0</v>
      </c>
      <c r="H244" s="231">
        <f t="shared" si="190"/>
        <v>0</v>
      </c>
      <c r="I244" s="268">
        <f t="shared" si="175"/>
        <v>0</v>
      </c>
      <c r="J244" s="269">
        <f t="shared" si="191"/>
        <v>0</v>
      </c>
      <c r="K244" s="269">
        <f t="shared" si="192"/>
        <v>0</v>
      </c>
      <c r="L244" s="269">
        <f t="shared" si="176"/>
        <v>0</v>
      </c>
      <c r="M244" s="269">
        <f t="shared" si="177"/>
        <v>0</v>
      </c>
      <c r="N244" s="233">
        <f>VLOOKUP(B244,Dados!$L$86:$P$90,5)</f>
        <v>0</v>
      </c>
      <c r="O244" s="270">
        <f t="shared" si="193"/>
        <v>0.99999999999999989</v>
      </c>
      <c r="P244" s="269">
        <f t="shared" si="194"/>
        <v>0</v>
      </c>
      <c r="Q244" s="269" t="e">
        <f t="shared" si="195"/>
        <v>#DIV/0!</v>
      </c>
      <c r="R244" s="269">
        <f t="shared" si="196"/>
        <v>0</v>
      </c>
      <c r="S244" s="269" t="e">
        <f t="shared" si="197"/>
        <v>#DIV/0!</v>
      </c>
      <c r="T244" s="269" t="e">
        <f t="shared" si="183"/>
        <v>#DIV/0!</v>
      </c>
      <c r="U244" s="234">
        <f t="shared" si="198"/>
        <v>0</v>
      </c>
      <c r="V244" s="232" t="e">
        <f t="shared" si="199"/>
        <v>#DIV/0!</v>
      </c>
      <c r="W244" s="269" t="e">
        <f t="shared" si="200"/>
        <v>#DIV/0!</v>
      </c>
      <c r="X244" s="235">
        <f t="shared" si="178"/>
        <v>0</v>
      </c>
      <c r="Y244" s="236">
        <f t="shared" si="201"/>
        <v>5</v>
      </c>
      <c r="Z244" s="236" t="e">
        <f t="shared" si="202"/>
        <v>#DIV/0!</v>
      </c>
      <c r="AA244" s="236">
        <f t="shared" si="203"/>
        <v>3</v>
      </c>
      <c r="AB244" s="236" t="e">
        <f t="shared" si="204"/>
        <v>#DIV/0!</v>
      </c>
      <c r="AC244" s="235">
        <f t="shared" si="205"/>
        <v>0</v>
      </c>
      <c r="AD244" s="235">
        <f t="shared" si="206"/>
        <v>0</v>
      </c>
      <c r="AE244" s="279">
        <f t="shared" si="207"/>
        <v>0</v>
      </c>
      <c r="AF244" s="232">
        <f t="shared" si="208"/>
        <v>0</v>
      </c>
      <c r="AG244" s="235">
        <f t="shared" si="209"/>
        <v>0</v>
      </c>
      <c r="AH244" s="269">
        <f t="shared" si="210"/>
        <v>0</v>
      </c>
      <c r="AI244" s="232">
        <f t="shared" si="211"/>
        <v>0</v>
      </c>
      <c r="AJ244" s="235">
        <f t="shared" si="212"/>
        <v>0</v>
      </c>
      <c r="AK244" s="269">
        <f t="shared" si="213"/>
        <v>0</v>
      </c>
      <c r="AL244" s="269">
        <f t="shared" si="179"/>
        <v>0</v>
      </c>
      <c r="AM244" s="281" t="e">
        <f>IF(B244&gt;=mpfo,pos*vvm*Dados!$E$122*(ntudv-SUM(U245:$U$301))-SUM($AM$13:AM243),0)</f>
        <v>#DIV/0!</v>
      </c>
      <c r="AN244" s="269" t="e">
        <f t="shared" si="214"/>
        <v>#DIV/0!</v>
      </c>
      <c r="AO244" s="232" t="e">
        <f t="shared" si="215"/>
        <v>#DIV/0!</v>
      </c>
      <c r="AP244" s="242" t="e">
        <f t="shared" si="216"/>
        <v>#DIV/0!</v>
      </c>
      <c r="AQ244" s="235" t="e">
        <f>IF(AP244+SUM($AQ$12:AQ243)&gt;=0,0,-AP244-SUM($AQ$12:AQ243))</f>
        <v>#DIV/0!</v>
      </c>
      <c r="AR244" s="235">
        <f>IF(SUM($N$13:N243)&gt;=pmo,IF(SUM(N243:$N$501)&gt;(1-pmo),B244,0),0)</f>
        <v>0</v>
      </c>
      <c r="AS244" s="235" t="e">
        <f>IF((SUM($U$13:$U243)/ntudv)&gt;=pmv,IF((SUM($U243:$U$501)/ntudv)&gt;(1-pmv),B244,0),0)</f>
        <v>#DIV/0!</v>
      </c>
      <c r="AT244" s="237" t="e">
        <f>IF(MAX(mmo,mmv)=mmo,IF(B244=AR244,(SUM(N$13:$N243)-pmo)/((1-VLOOKUP(MAX(mmo,mmv)-1,$B$13:$O$501,14))+(VLOOKUP(MAX(mmo,mmv)-1,$B$13:$O$501,14)-pmo)),N243/((1-VLOOKUP(MAX(mmo,mmv)-1,$B$13:$O$501,14)+(VLOOKUP(MAX(mmo,mmv)-1,$B$13:$O$501,14)-pmo)))),N243/(1-VLOOKUP(MAX(mmo,mmv)-2,$B$13:$O$501,14)))</f>
        <v>#DIV/0!</v>
      </c>
      <c r="AU244" s="101" t="e">
        <f t="shared" si="180"/>
        <v>#DIV/0!</v>
      </c>
      <c r="AV244" s="287" t="e">
        <f t="shared" si="181"/>
        <v>#DIV/0!</v>
      </c>
      <c r="AW244" s="235" t="e">
        <f t="shared" si="217"/>
        <v>#DIV/0!</v>
      </c>
      <c r="AX244" s="281">
        <f>IF(B244&gt;mpfo,0,IF(B244=mpfo,(vld-teo*(1+tcfo-incc)^(MAX(mmo,mmv)-mbfo))*-1,IF(SUM($N$13:N243)&gt;=pmo,IF(($V243/ntudv)&gt;=pmv,IF(B244=MAX(mmo,mmv),-teo*(1+tcfo-incc)^(B244-mbfo),0),0),0)))</f>
        <v>0</v>
      </c>
      <c r="AY244" s="292" t="e">
        <f t="shared" si="182"/>
        <v>#DIV/0!</v>
      </c>
      <c r="AZ244" s="235" t="e">
        <f t="shared" si="218"/>
        <v>#DIV/0!</v>
      </c>
      <c r="BA244" s="269" t="e">
        <f t="shared" si="219"/>
        <v>#DIV/0!</v>
      </c>
      <c r="BB244" s="292" t="e">
        <f t="shared" si="220"/>
        <v>#DIV/0!</v>
      </c>
      <c r="BC244" s="238" t="e">
        <f>IF(SUM($BC$13:BC243)&gt;0,0,IF(BB244&gt;0,B244,0))</f>
        <v>#DIV/0!</v>
      </c>
      <c r="BD244" s="292" t="e">
        <f>IF(BB244+SUM($BD$12:BD243)&gt;=0,0,-BB244-SUM($BD$12:BD243))</f>
        <v>#DIV/0!</v>
      </c>
      <c r="BE244" s="235" t="e">
        <f>BB244+SUM($BD$12:BD244)</f>
        <v>#DIV/0!</v>
      </c>
      <c r="BF244" s="292" t="e">
        <f>-MIN(BE244:$BE$501)-SUM(BF$12:$BF243)</f>
        <v>#DIV/0!</v>
      </c>
      <c r="BG244" s="235" t="e">
        <f t="shared" si="185"/>
        <v>#DIV/0!</v>
      </c>
    </row>
    <row r="245" spans="2:59">
      <c r="B245" s="120">
        <v>232</v>
      </c>
      <c r="C245" s="241">
        <f t="shared" si="184"/>
        <v>49739</v>
      </c>
      <c r="D245" s="229">
        <f t="shared" si="186"/>
        <v>3</v>
      </c>
      <c r="E245" s="230" t="str">
        <f t="shared" si="187"/>
        <v>-</v>
      </c>
      <c r="F245" s="231">
        <f t="shared" si="188"/>
        <v>0</v>
      </c>
      <c r="G245" s="231">
        <f t="shared" si="189"/>
        <v>0</v>
      </c>
      <c r="H245" s="231">
        <f t="shared" si="190"/>
        <v>0</v>
      </c>
      <c r="I245" s="268">
        <f t="shared" si="175"/>
        <v>0</v>
      </c>
      <c r="J245" s="269">
        <f t="shared" si="191"/>
        <v>0</v>
      </c>
      <c r="K245" s="269">
        <f t="shared" si="192"/>
        <v>0</v>
      </c>
      <c r="L245" s="269">
        <f t="shared" si="176"/>
        <v>0</v>
      </c>
      <c r="M245" s="269">
        <f t="shared" si="177"/>
        <v>0</v>
      </c>
      <c r="N245" s="233">
        <f>VLOOKUP(B245,Dados!$L$86:$P$90,5)</f>
        <v>0</v>
      </c>
      <c r="O245" s="270">
        <f t="shared" si="193"/>
        <v>0.99999999999999989</v>
      </c>
      <c r="P245" s="269">
        <f t="shared" si="194"/>
        <v>0</v>
      </c>
      <c r="Q245" s="269" t="e">
        <f t="shared" si="195"/>
        <v>#DIV/0!</v>
      </c>
      <c r="R245" s="269">
        <f t="shared" si="196"/>
        <v>0</v>
      </c>
      <c r="S245" s="269" t="e">
        <f t="shared" si="197"/>
        <v>#DIV/0!</v>
      </c>
      <c r="T245" s="269" t="e">
        <f t="shared" si="183"/>
        <v>#DIV/0!</v>
      </c>
      <c r="U245" s="234">
        <f t="shared" si="198"/>
        <v>0</v>
      </c>
      <c r="V245" s="232" t="e">
        <f t="shared" si="199"/>
        <v>#DIV/0!</v>
      </c>
      <c r="W245" s="269" t="e">
        <f t="shared" si="200"/>
        <v>#DIV/0!</v>
      </c>
      <c r="X245" s="235">
        <f t="shared" si="178"/>
        <v>0</v>
      </c>
      <c r="Y245" s="236">
        <f t="shared" si="201"/>
        <v>5</v>
      </c>
      <c r="Z245" s="236" t="e">
        <f t="shared" si="202"/>
        <v>#DIV/0!</v>
      </c>
      <c r="AA245" s="236">
        <f t="shared" si="203"/>
        <v>3</v>
      </c>
      <c r="AB245" s="236" t="e">
        <f t="shared" si="204"/>
        <v>#DIV/0!</v>
      </c>
      <c r="AC245" s="235">
        <f t="shared" si="205"/>
        <v>0</v>
      </c>
      <c r="AD245" s="235">
        <f t="shared" si="206"/>
        <v>0</v>
      </c>
      <c r="AE245" s="279">
        <f t="shared" si="207"/>
        <v>0</v>
      </c>
      <c r="AF245" s="232">
        <f t="shared" si="208"/>
        <v>0</v>
      </c>
      <c r="AG245" s="235">
        <f t="shared" si="209"/>
        <v>0</v>
      </c>
      <c r="AH245" s="269">
        <f t="shared" si="210"/>
        <v>0</v>
      </c>
      <c r="AI245" s="232">
        <f t="shared" si="211"/>
        <v>0</v>
      </c>
      <c r="AJ245" s="235">
        <f t="shared" si="212"/>
        <v>0</v>
      </c>
      <c r="AK245" s="269">
        <f t="shared" si="213"/>
        <v>0</v>
      </c>
      <c r="AL245" s="269">
        <f t="shared" si="179"/>
        <v>0</v>
      </c>
      <c r="AM245" s="281" t="e">
        <f>IF(B245&gt;=mpfo,pos*vvm*Dados!$E$122*(ntudv-SUM(U246:$U$301))-SUM($AM$13:AM244),0)</f>
        <v>#DIV/0!</v>
      </c>
      <c r="AN245" s="269" t="e">
        <f t="shared" si="214"/>
        <v>#DIV/0!</v>
      </c>
      <c r="AO245" s="232" t="e">
        <f t="shared" si="215"/>
        <v>#DIV/0!</v>
      </c>
      <c r="AP245" s="242" t="e">
        <f t="shared" si="216"/>
        <v>#DIV/0!</v>
      </c>
      <c r="AQ245" s="235" t="e">
        <f>IF(AP245+SUM($AQ$12:AQ244)&gt;=0,0,-AP245-SUM($AQ$12:AQ244))</f>
        <v>#DIV/0!</v>
      </c>
      <c r="AR245" s="235">
        <f>IF(SUM($N$13:N244)&gt;=pmo,IF(SUM(N244:$N$501)&gt;(1-pmo),B245,0),0)</f>
        <v>0</v>
      </c>
      <c r="AS245" s="235" t="e">
        <f>IF((SUM($U$13:$U244)/ntudv)&gt;=pmv,IF((SUM($U244:$U$501)/ntudv)&gt;(1-pmv),B245,0),0)</f>
        <v>#DIV/0!</v>
      </c>
      <c r="AT245" s="237" t="e">
        <f>IF(MAX(mmo,mmv)=mmo,IF(B245=AR245,(SUM(N$13:$N244)-pmo)/((1-VLOOKUP(MAX(mmo,mmv)-1,$B$13:$O$501,14))+(VLOOKUP(MAX(mmo,mmv)-1,$B$13:$O$501,14)-pmo)),N244/((1-VLOOKUP(MAX(mmo,mmv)-1,$B$13:$O$501,14)+(VLOOKUP(MAX(mmo,mmv)-1,$B$13:$O$501,14)-pmo)))),N244/(1-VLOOKUP(MAX(mmo,mmv)-2,$B$13:$O$501,14)))</f>
        <v>#DIV/0!</v>
      </c>
      <c r="AU245" s="101" t="e">
        <f t="shared" si="180"/>
        <v>#DIV/0!</v>
      </c>
      <c r="AV245" s="287" t="e">
        <f t="shared" si="181"/>
        <v>#DIV/0!</v>
      </c>
      <c r="AW245" s="235" t="e">
        <f t="shared" si="217"/>
        <v>#DIV/0!</v>
      </c>
      <c r="AX245" s="281">
        <f>IF(B245&gt;mpfo,0,IF(B245=mpfo,(vld-teo*(1+tcfo-incc)^(MAX(mmo,mmv)-mbfo))*-1,IF(SUM($N$13:N244)&gt;=pmo,IF(($V244/ntudv)&gt;=pmv,IF(B245=MAX(mmo,mmv),-teo*(1+tcfo-incc)^(B245-mbfo),0),0),0)))</f>
        <v>0</v>
      </c>
      <c r="AY245" s="292" t="e">
        <f t="shared" si="182"/>
        <v>#DIV/0!</v>
      </c>
      <c r="AZ245" s="235" t="e">
        <f t="shared" si="218"/>
        <v>#DIV/0!</v>
      </c>
      <c r="BA245" s="269" t="e">
        <f t="shared" si="219"/>
        <v>#DIV/0!</v>
      </c>
      <c r="BB245" s="292" t="e">
        <f t="shared" si="220"/>
        <v>#DIV/0!</v>
      </c>
      <c r="BC245" s="238" t="e">
        <f>IF(SUM($BC$13:BC244)&gt;0,0,IF(BB245&gt;0,B245,0))</f>
        <v>#DIV/0!</v>
      </c>
      <c r="BD245" s="292" t="e">
        <f>IF(BB245+SUM($BD$12:BD244)&gt;=0,0,-BB245-SUM($BD$12:BD244))</f>
        <v>#DIV/0!</v>
      </c>
      <c r="BE245" s="235" t="e">
        <f>BB245+SUM($BD$12:BD245)</f>
        <v>#DIV/0!</v>
      </c>
      <c r="BF245" s="292" t="e">
        <f>-MIN(BE245:$BE$501)-SUM(BF$12:$BF244)</f>
        <v>#DIV/0!</v>
      </c>
      <c r="BG245" s="235" t="e">
        <f t="shared" si="185"/>
        <v>#DIV/0!</v>
      </c>
    </row>
    <row r="246" spans="2:59">
      <c r="B246" s="246">
        <v>233</v>
      </c>
      <c r="C246" s="241">
        <f t="shared" si="184"/>
        <v>49770</v>
      </c>
      <c r="D246" s="229">
        <f t="shared" si="186"/>
        <v>4</v>
      </c>
      <c r="E246" s="230" t="str">
        <f t="shared" si="187"/>
        <v>-</v>
      </c>
      <c r="F246" s="231">
        <f t="shared" si="188"/>
        <v>0</v>
      </c>
      <c r="G246" s="231">
        <f t="shared" si="189"/>
        <v>0</v>
      </c>
      <c r="H246" s="231">
        <f t="shared" si="190"/>
        <v>0</v>
      </c>
      <c r="I246" s="268">
        <f t="shared" si="175"/>
        <v>0</v>
      </c>
      <c r="J246" s="269">
        <f t="shared" si="191"/>
        <v>0</v>
      </c>
      <c r="K246" s="269">
        <f t="shared" si="192"/>
        <v>0</v>
      </c>
      <c r="L246" s="269">
        <f t="shared" si="176"/>
        <v>0</v>
      </c>
      <c r="M246" s="269">
        <f t="shared" si="177"/>
        <v>0</v>
      </c>
      <c r="N246" s="233">
        <f>VLOOKUP(B246,Dados!$L$86:$P$90,5)</f>
        <v>0</v>
      </c>
      <c r="O246" s="270">
        <f t="shared" si="193"/>
        <v>0.99999999999999989</v>
      </c>
      <c r="P246" s="269">
        <f t="shared" si="194"/>
        <v>0</v>
      </c>
      <c r="Q246" s="269" t="e">
        <f t="shared" si="195"/>
        <v>#DIV/0!</v>
      </c>
      <c r="R246" s="269">
        <f t="shared" si="196"/>
        <v>0</v>
      </c>
      <c r="S246" s="269" t="e">
        <f t="shared" si="197"/>
        <v>#DIV/0!</v>
      </c>
      <c r="T246" s="269" t="e">
        <f t="shared" si="183"/>
        <v>#DIV/0!</v>
      </c>
      <c r="U246" s="234">
        <f t="shared" si="198"/>
        <v>0</v>
      </c>
      <c r="V246" s="232" t="e">
        <f t="shared" si="199"/>
        <v>#DIV/0!</v>
      </c>
      <c r="W246" s="269" t="e">
        <f t="shared" si="200"/>
        <v>#DIV/0!</v>
      </c>
      <c r="X246" s="235">
        <f t="shared" si="178"/>
        <v>0</v>
      </c>
      <c r="Y246" s="236">
        <f t="shared" si="201"/>
        <v>5</v>
      </c>
      <c r="Z246" s="236" t="e">
        <f t="shared" si="202"/>
        <v>#DIV/0!</v>
      </c>
      <c r="AA246" s="236">
        <f t="shared" si="203"/>
        <v>3</v>
      </c>
      <c r="AB246" s="236" t="e">
        <f t="shared" si="204"/>
        <v>#DIV/0!</v>
      </c>
      <c r="AC246" s="235">
        <f t="shared" si="205"/>
        <v>0</v>
      </c>
      <c r="AD246" s="235">
        <f t="shared" si="206"/>
        <v>0</v>
      </c>
      <c r="AE246" s="279">
        <f t="shared" si="207"/>
        <v>0</v>
      </c>
      <c r="AF246" s="232">
        <f t="shared" si="208"/>
        <v>0</v>
      </c>
      <c r="AG246" s="235">
        <f t="shared" si="209"/>
        <v>0</v>
      </c>
      <c r="AH246" s="269">
        <f t="shared" si="210"/>
        <v>0</v>
      </c>
      <c r="AI246" s="232">
        <f t="shared" si="211"/>
        <v>0</v>
      </c>
      <c r="AJ246" s="235">
        <f t="shared" si="212"/>
        <v>0</v>
      </c>
      <c r="AK246" s="269">
        <f t="shared" si="213"/>
        <v>0</v>
      </c>
      <c r="AL246" s="269">
        <f t="shared" si="179"/>
        <v>0</v>
      </c>
      <c r="AM246" s="281" t="e">
        <f>IF(B246&gt;=mpfo,pos*vvm*Dados!$E$122*(ntudv-SUM(U247:$U$301))-SUM($AM$13:AM245),0)</f>
        <v>#DIV/0!</v>
      </c>
      <c r="AN246" s="269" t="e">
        <f t="shared" si="214"/>
        <v>#DIV/0!</v>
      </c>
      <c r="AO246" s="232" t="e">
        <f t="shared" si="215"/>
        <v>#DIV/0!</v>
      </c>
      <c r="AP246" s="242" t="e">
        <f t="shared" si="216"/>
        <v>#DIV/0!</v>
      </c>
      <c r="AQ246" s="235" t="e">
        <f>IF(AP246+SUM($AQ$12:AQ245)&gt;=0,0,-AP246-SUM($AQ$12:AQ245))</f>
        <v>#DIV/0!</v>
      </c>
      <c r="AR246" s="235">
        <f>IF(SUM($N$13:N245)&gt;=pmo,IF(SUM(N245:$N$501)&gt;(1-pmo),B246,0),0)</f>
        <v>0</v>
      </c>
      <c r="AS246" s="235" t="e">
        <f>IF((SUM($U$13:$U245)/ntudv)&gt;=pmv,IF((SUM($U245:$U$501)/ntudv)&gt;(1-pmv),B246,0),0)</f>
        <v>#DIV/0!</v>
      </c>
      <c r="AT246" s="237" t="e">
        <f>IF(MAX(mmo,mmv)=mmo,IF(B246=AR246,(SUM(N$13:$N245)-pmo)/((1-VLOOKUP(MAX(mmo,mmv)-1,$B$13:$O$501,14))+(VLOOKUP(MAX(mmo,mmv)-1,$B$13:$O$501,14)-pmo)),N245/((1-VLOOKUP(MAX(mmo,mmv)-1,$B$13:$O$501,14)+(VLOOKUP(MAX(mmo,mmv)-1,$B$13:$O$501,14)-pmo)))),N245/(1-VLOOKUP(MAX(mmo,mmv)-2,$B$13:$O$501,14)))</f>
        <v>#DIV/0!</v>
      </c>
      <c r="AU246" s="101" t="e">
        <f t="shared" si="180"/>
        <v>#DIV/0!</v>
      </c>
      <c r="AV246" s="287" t="e">
        <f t="shared" si="181"/>
        <v>#DIV/0!</v>
      </c>
      <c r="AW246" s="235" t="e">
        <f t="shared" si="217"/>
        <v>#DIV/0!</v>
      </c>
      <c r="AX246" s="281">
        <f>IF(B246&gt;mpfo,0,IF(B246=mpfo,(vld-teo*(1+tcfo-incc)^(MAX(mmo,mmv)-mbfo))*-1,IF(SUM($N$13:N245)&gt;=pmo,IF(($V245/ntudv)&gt;=pmv,IF(B246=MAX(mmo,mmv),-teo*(1+tcfo-incc)^(B246-mbfo),0),0),0)))</f>
        <v>0</v>
      </c>
      <c r="AY246" s="292" t="e">
        <f t="shared" si="182"/>
        <v>#DIV/0!</v>
      </c>
      <c r="AZ246" s="235" t="e">
        <f t="shared" si="218"/>
        <v>#DIV/0!</v>
      </c>
      <c r="BA246" s="269" t="e">
        <f t="shared" si="219"/>
        <v>#DIV/0!</v>
      </c>
      <c r="BB246" s="292" t="e">
        <f t="shared" si="220"/>
        <v>#DIV/0!</v>
      </c>
      <c r="BC246" s="238" t="e">
        <f>IF(SUM($BC$13:BC245)&gt;0,0,IF(BB246&gt;0,B246,0))</f>
        <v>#DIV/0!</v>
      </c>
      <c r="BD246" s="292" t="e">
        <f>IF(BB246+SUM($BD$12:BD245)&gt;=0,0,-BB246-SUM($BD$12:BD245))</f>
        <v>#DIV/0!</v>
      </c>
      <c r="BE246" s="235" t="e">
        <f>BB246+SUM($BD$12:BD246)</f>
        <v>#DIV/0!</v>
      </c>
      <c r="BF246" s="292" t="e">
        <f>-MIN(BE246:$BE$501)-SUM(BF$12:$BF245)</f>
        <v>#DIV/0!</v>
      </c>
      <c r="BG246" s="235" t="e">
        <f t="shared" si="185"/>
        <v>#DIV/0!</v>
      </c>
    </row>
    <row r="247" spans="2:59">
      <c r="B247" s="120">
        <v>234</v>
      </c>
      <c r="C247" s="241">
        <f t="shared" si="184"/>
        <v>49800</v>
      </c>
      <c r="D247" s="229">
        <f t="shared" si="186"/>
        <v>5</v>
      </c>
      <c r="E247" s="230" t="str">
        <f t="shared" si="187"/>
        <v>-</v>
      </c>
      <c r="F247" s="231">
        <f t="shared" si="188"/>
        <v>0</v>
      </c>
      <c r="G247" s="231">
        <f t="shared" si="189"/>
        <v>0</v>
      </c>
      <c r="H247" s="231">
        <f t="shared" si="190"/>
        <v>0</v>
      </c>
      <c r="I247" s="268">
        <f t="shared" si="175"/>
        <v>0</v>
      </c>
      <c r="J247" s="269">
        <f t="shared" si="191"/>
        <v>0</v>
      </c>
      <c r="K247" s="269">
        <f t="shared" si="192"/>
        <v>0</v>
      </c>
      <c r="L247" s="269">
        <f t="shared" si="176"/>
        <v>0</v>
      </c>
      <c r="M247" s="269">
        <f t="shared" si="177"/>
        <v>0</v>
      </c>
      <c r="N247" s="233">
        <f>VLOOKUP(B247,Dados!$L$86:$P$90,5)</f>
        <v>0</v>
      </c>
      <c r="O247" s="270">
        <f t="shared" si="193"/>
        <v>0.99999999999999989</v>
      </c>
      <c r="P247" s="269">
        <f t="shared" si="194"/>
        <v>0</v>
      </c>
      <c r="Q247" s="269" t="e">
        <f t="shared" si="195"/>
        <v>#DIV/0!</v>
      </c>
      <c r="R247" s="269">
        <f t="shared" si="196"/>
        <v>0</v>
      </c>
      <c r="S247" s="269" t="e">
        <f t="shared" si="197"/>
        <v>#DIV/0!</v>
      </c>
      <c r="T247" s="269" t="e">
        <f t="shared" si="183"/>
        <v>#DIV/0!</v>
      </c>
      <c r="U247" s="234">
        <f t="shared" si="198"/>
        <v>0</v>
      </c>
      <c r="V247" s="232" t="e">
        <f t="shared" si="199"/>
        <v>#DIV/0!</v>
      </c>
      <c r="W247" s="269" t="e">
        <f t="shared" si="200"/>
        <v>#DIV/0!</v>
      </c>
      <c r="X247" s="235">
        <f t="shared" si="178"/>
        <v>0</v>
      </c>
      <c r="Y247" s="236">
        <f t="shared" si="201"/>
        <v>5</v>
      </c>
      <c r="Z247" s="236" t="e">
        <f t="shared" si="202"/>
        <v>#DIV/0!</v>
      </c>
      <c r="AA247" s="236">
        <f t="shared" si="203"/>
        <v>3</v>
      </c>
      <c r="AB247" s="236" t="e">
        <f t="shared" si="204"/>
        <v>#DIV/0!</v>
      </c>
      <c r="AC247" s="235">
        <f t="shared" si="205"/>
        <v>0</v>
      </c>
      <c r="AD247" s="235">
        <f t="shared" si="206"/>
        <v>0</v>
      </c>
      <c r="AE247" s="279">
        <f t="shared" si="207"/>
        <v>0</v>
      </c>
      <c r="AF247" s="232">
        <f t="shared" si="208"/>
        <v>0</v>
      </c>
      <c r="AG247" s="235">
        <f t="shared" si="209"/>
        <v>0</v>
      </c>
      <c r="AH247" s="269">
        <f t="shared" si="210"/>
        <v>0</v>
      </c>
      <c r="AI247" s="232">
        <f t="shared" si="211"/>
        <v>0</v>
      </c>
      <c r="AJ247" s="235">
        <f t="shared" si="212"/>
        <v>0</v>
      </c>
      <c r="AK247" s="269">
        <f t="shared" si="213"/>
        <v>0</v>
      </c>
      <c r="AL247" s="269">
        <f t="shared" si="179"/>
        <v>0</v>
      </c>
      <c r="AM247" s="281" t="e">
        <f>IF(B247&gt;=mpfo,pos*vvm*Dados!$E$122*(ntudv-SUM(U248:$U$301))-SUM($AM$13:AM246),0)</f>
        <v>#DIV/0!</v>
      </c>
      <c r="AN247" s="269" t="e">
        <f t="shared" si="214"/>
        <v>#DIV/0!</v>
      </c>
      <c r="AO247" s="232" t="e">
        <f t="shared" si="215"/>
        <v>#DIV/0!</v>
      </c>
      <c r="AP247" s="242" t="e">
        <f t="shared" si="216"/>
        <v>#DIV/0!</v>
      </c>
      <c r="AQ247" s="235" t="e">
        <f>IF(AP247+SUM($AQ$12:AQ246)&gt;=0,0,-AP247-SUM($AQ$12:AQ246))</f>
        <v>#DIV/0!</v>
      </c>
      <c r="AR247" s="235">
        <f>IF(SUM($N$13:N246)&gt;=pmo,IF(SUM(N246:$N$501)&gt;(1-pmo),B247,0),0)</f>
        <v>0</v>
      </c>
      <c r="AS247" s="235" t="e">
        <f>IF((SUM($U$13:$U246)/ntudv)&gt;=pmv,IF((SUM($U246:$U$501)/ntudv)&gt;(1-pmv),B247,0),0)</f>
        <v>#DIV/0!</v>
      </c>
      <c r="AT247" s="237" t="e">
        <f>IF(MAX(mmo,mmv)=mmo,IF(B247=AR247,(SUM(N$13:$N246)-pmo)/((1-VLOOKUP(MAX(mmo,mmv)-1,$B$13:$O$501,14))+(VLOOKUP(MAX(mmo,mmv)-1,$B$13:$O$501,14)-pmo)),N246/((1-VLOOKUP(MAX(mmo,mmv)-1,$B$13:$O$501,14)+(VLOOKUP(MAX(mmo,mmv)-1,$B$13:$O$501,14)-pmo)))),N246/(1-VLOOKUP(MAX(mmo,mmv)-2,$B$13:$O$501,14)))</f>
        <v>#DIV/0!</v>
      </c>
      <c r="AU247" s="101" t="e">
        <f t="shared" si="180"/>
        <v>#DIV/0!</v>
      </c>
      <c r="AV247" s="287" t="e">
        <f t="shared" si="181"/>
        <v>#DIV/0!</v>
      </c>
      <c r="AW247" s="235" t="e">
        <f t="shared" si="217"/>
        <v>#DIV/0!</v>
      </c>
      <c r="AX247" s="281">
        <f>IF(B247&gt;mpfo,0,IF(B247=mpfo,(vld-teo*(1+tcfo-incc)^(MAX(mmo,mmv)-mbfo))*-1,IF(SUM($N$13:N246)&gt;=pmo,IF(($V246/ntudv)&gt;=pmv,IF(B247=MAX(mmo,mmv),-teo*(1+tcfo-incc)^(B247-mbfo),0),0),0)))</f>
        <v>0</v>
      </c>
      <c r="AY247" s="292" t="e">
        <f t="shared" si="182"/>
        <v>#DIV/0!</v>
      </c>
      <c r="AZ247" s="235" t="e">
        <f t="shared" si="218"/>
        <v>#DIV/0!</v>
      </c>
      <c r="BA247" s="269" t="e">
        <f t="shared" si="219"/>
        <v>#DIV/0!</v>
      </c>
      <c r="BB247" s="292" t="e">
        <f t="shared" si="220"/>
        <v>#DIV/0!</v>
      </c>
      <c r="BC247" s="238" t="e">
        <f>IF(SUM($BC$13:BC246)&gt;0,0,IF(BB247&gt;0,B247,0))</f>
        <v>#DIV/0!</v>
      </c>
      <c r="BD247" s="292" t="e">
        <f>IF(BB247+SUM($BD$12:BD246)&gt;=0,0,-BB247-SUM($BD$12:BD246))</f>
        <v>#DIV/0!</v>
      </c>
      <c r="BE247" s="235" t="e">
        <f>BB247+SUM($BD$12:BD247)</f>
        <v>#DIV/0!</v>
      </c>
      <c r="BF247" s="292" t="e">
        <f>-MIN(BE247:$BE$501)-SUM(BF$12:$BF246)</f>
        <v>#DIV/0!</v>
      </c>
      <c r="BG247" s="235" t="e">
        <f t="shared" si="185"/>
        <v>#DIV/0!</v>
      </c>
    </row>
    <row r="248" spans="2:59">
      <c r="B248" s="246">
        <v>235</v>
      </c>
      <c r="C248" s="241">
        <f t="shared" si="184"/>
        <v>49831</v>
      </c>
      <c r="D248" s="229">
        <f t="shared" si="186"/>
        <v>6</v>
      </c>
      <c r="E248" s="230" t="str">
        <f t="shared" si="187"/>
        <v>-</v>
      </c>
      <c r="F248" s="231">
        <f t="shared" si="188"/>
        <v>0</v>
      </c>
      <c r="G248" s="231">
        <f t="shared" si="189"/>
        <v>0</v>
      </c>
      <c r="H248" s="231">
        <f t="shared" si="190"/>
        <v>0</v>
      </c>
      <c r="I248" s="268">
        <f t="shared" si="175"/>
        <v>0</v>
      </c>
      <c r="J248" s="269">
        <f t="shared" si="191"/>
        <v>0</v>
      </c>
      <c r="K248" s="269">
        <f t="shared" si="192"/>
        <v>0</v>
      </c>
      <c r="L248" s="269">
        <f t="shared" si="176"/>
        <v>0</v>
      </c>
      <c r="M248" s="269">
        <f t="shared" si="177"/>
        <v>0</v>
      </c>
      <c r="N248" s="233">
        <f>VLOOKUP(B248,Dados!$L$86:$P$90,5)</f>
        <v>0</v>
      </c>
      <c r="O248" s="270">
        <f t="shared" si="193"/>
        <v>0.99999999999999989</v>
      </c>
      <c r="P248" s="269">
        <f t="shared" si="194"/>
        <v>0</v>
      </c>
      <c r="Q248" s="269" t="e">
        <f t="shared" si="195"/>
        <v>#DIV/0!</v>
      </c>
      <c r="R248" s="269">
        <f t="shared" si="196"/>
        <v>0</v>
      </c>
      <c r="S248" s="269" t="e">
        <f t="shared" si="197"/>
        <v>#DIV/0!</v>
      </c>
      <c r="T248" s="269" t="e">
        <f t="shared" si="183"/>
        <v>#DIV/0!</v>
      </c>
      <c r="U248" s="234">
        <f t="shared" si="198"/>
        <v>0</v>
      </c>
      <c r="V248" s="232" t="e">
        <f t="shared" si="199"/>
        <v>#DIV/0!</v>
      </c>
      <c r="W248" s="269" t="e">
        <f t="shared" si="200"/>
        <v>#DIV/0!</v>
      </c>
      <c r="X248" s="235">
        <f t="shared" si="178"/>
        <v>0</v>
      </c>
      <c r="Y248" s="236">
        <f t="shared" si="201"/>
        <v>5</v>
      </c>
      <c r="Z248" s="236" t="e">
        <f t="shared" si="202"/>
        <v>#DIV/0!</v>
      </c>
      <c r="AA248" s="236">
        <f t="shared" si="203"/>
        <v>3</v>
      </c>
      <c r="AB248" s="236" t="e">
        <f t="shared" si="204"/>
        <v>#DIV/0!</v>
      </c>
      <c r="AC248" s="235">
        <f t="shared" si="205"/>
        <v>0</v>
      </c>
      <c r="AD248" s="235">
        <f t="shared" si="206"/>
        <v>0</v>
      </c>
      <c r="AE248" s="279">
        <f t="shared" si="207"/>
        <v>0</v>
      </c>
      <c r="AF248" s="232">
        <f t="shared" si="208"/>
        <v>1</v>
      </c>
      <c r="AG248" s="235">
        <f t="shared" si="209"/>
        <v>0</v>
      </c>
      <c r="AH248" s="269">
        <f t="shared" si="210"/>
        <v>0</v>
      </c>
      <c r="AI248" s="232">
        <f t="shared" si="211"/>
        <v>0</v>
      </c>
      <c r="AJ248" s="235">
        <f t="shared" si="212"/>
        <v>0</v>
      </c>
      <c r="AK248" s="269">
        <f t="shared" si="213"/>
        <v>0</v>
      </c>
      <c r="AL248" s="269">
        <f t="shared" si="179"/>
        <v>0</v>
      </c>
      <c r="AM248" s="281" t="e">
        <f>IF(B248&gt;=mpfo,pos*vvm*Dados!$E$122*(ntudv-SUM(U249:$U$301))-SUM($AM$13:AM247),0)</f>
        <v>#DIV/0!</v>
      </c>
      <c r="AN248" s="269" t="e">
        <f t="shared" si="214"/>
        <v>#DIV/0!</v>
      </c>
      <c r="AO248" s="232" t="e">
        <f t="shared" si="215"/>
        <v>#DIV/0!</v>
      </c>
      <c r="AP248" s="242" t="e">
        <f t="shared" si="216"/>
        <v>#DIV/0!</v>
      </c>
      <c r="AQ248" s="235" t="e">
        <f>IF(AP248+SUM($AQ$12:AQ247)&gt;=0,0,-AP248-SUM($AQ$12:AQ247))</f>
        <v>#DIV/0!</v>
      </c>
      <c r="AR248" s="235">
        <f>IF(SUM($N$13:N247)&gt;=pmo,IF(SUM(N247:$N$501)&gt;(1-pmo),B248,0),0)</f>
        <v>0</v>
      </c>
      <c r="AS248" s="235" t="e">
        <f>IF((SUM($U$13:$U247)/ntudv)&gt;=pmv,IF((SUM($U247:$U$501)/ntudv)&gt;(1-pmv),B248,0),0)</f>
        <v>#DIV/0!</v>
      </c>
      <c r="AT248" s="237" t="e">
        <f>IF(MAX(mmo,mmv)=mmo,IF(B248=AR248,(SUM(N$13:$N247)-pmo)/((1-VLOOKUP(MAX(mmo,mmv)-1,$B$13:$O$501,14))+(VLOOKUP(MAX(mmo,mmv)-1,$B$13:$O$501,14)-pmo)),N247/((1-VLOOKUP(MAX(mmo,mmv)-1,$B$13:$O$501,14)+(VLOOKUP(MAX(mmo,mmv)-1,$B$13:$O$501,14)-pmo)))),N247/(1-VLOOKUP(MAX(mmo,mmv)-2,$B$13:$O$501,14)))</f>
        <v>#DIV/0!</v>
      </c>
      <c r="AU248" s="101" t="e">
        <f t="shared" si="180"/>
        <v>#DIV/0!</v>
      </c>
      <c r="AV248" s="287" t="e">
        <f t="shared" si="181"/>
        <v>#DIV/0!</v>
      </c>
      <c r="AW248" s="235" t="e">
        <f t="shared" si="217"/>
        <v>#DIV/0!</v>
      </c>
      <c r="AX248" s="281">
        <f>IF(B248&gt;mpfo,0,IF(B248=mpfo,(vld-teo*(1+tcfo-incc)^(MAX(mmo,mmv)-mbfo))*-1,IF(SUM($N$13:N247)&gt;=pmo,IF(($V247/ntudv)&gt;=pmv,IF(B248=MAX(mmo,mmv),-teo*(1+tcfo-incc)^(B248-mbfo),0),0),0)))</f>
        <v>0</v>
      </c>
      <c r="AY248" s="292" t="e">
        <f t="shared" si="182"/>
        <v>#DIV/0!</v>
      </c>
      <c r="AZ248" s="235" t="e">
        <f t="shared" si="218"/>
        <v>#DIV/0!</v>
      </c>
      <c r="BA248" s="269" t="e">
        <f t="shared" si="219"/>
        <v>#DIV/0!</v>
      </c>
      <c r="BB248" s="292" t="e">
        <f t="shared" si="220"/>
        <v>#DIV/0!</v>
      </c>
      <c r="BC248" s="238" t="e">
        <f>IF(SUM($BC$13:BC247)&gt;0,0,IF(BB248&gt;0,B248,0))</f>
        <v>#DIV/0!</v>
      </c>
      <c r="BD248" s="292" t="e">
        <f>IF(BB248+SUM($BD$12:BD247)&gt;=0,0,-BB248-SUM($BD$12:BD247))</f>
        <v>#DIV/0!</v>
      </c>
      <c r="BE248" s="235" t="e">
        <f>BB248+SUM($BD$12:BD248)</f>
        <v>#DIV/0!</v>
      </c>
      <c r="BF248" s="292" t="e">
        <f>-MIN(BE248:$BE$501)-SUM(BF$12:$BF247)</f>
        <v>#DIV/0!</v>
      </c>
      <c r="BG248" s="235" t="e">
        <f t="shared" si="185"/>
        <v>#DIV/0!</v>
      </c>
    </row>
    <row r="249" spans="2:59">
      <c r="B249" s="120">
        <v>236</v>
      </c>
      <c r="C249" s="241">
        <f t="shared" si="184"/>
        <v>49861</v>
      </c>
      <c r="D249" s="229">
        <f t="shared" si="186"/>
        <v>7</v>
      </c>
      <c r="E249" s="230" t="str">
        <f t="shared" si="187"/>
        <v>-</v>
      </c>
      <c r="F249" s="231">
        <f t="shared" si="188"/>
        <v>0</v>
      </c>
      <c r="G249" s="231">
        <f t="shared" si="189"/>
        <v>0</v>
      </c>
      <c r="H249" s="231">
        <f t="shared" si="190"/>
        <v>0</v>
      </c>
      <c r="I249" s="268">
        <f t="shared" si="175"/>
        <v>0</v>
      </c>
      <c r="J249" s="269">
        <f t="shared" si="191"/>
        <v>0</v>
      </c>
      <c r="K249" s="269">
        <f t="shared" si="192"/>
        <v>0</v>
      </c>
      <c r="L249" s="269">
        <f t="shared" si="176"/>
        <v>0</v>
      </c>
      <c r="M249" s="269">
        <f t="shared" si="177"/>
        <v>0</v>
      </c>
      <c r="N249" s="233">
        <f>VLOOKUP(B249,Dados!$L$86:$P$90,5)</f>
        <v>0</v>
      </c>
      <c r="O249" s="270">
        <f t="shared" si="193"/>
        <v>0.99999999999999989</v>
      </c>
      <c r="P249" s="269">
        <f t="shared" si="194"/>
        <v>0</v>
      </c>
      <c r="Q249" s="269" t="e">
        <f t="shared" si="195"/>
        <v>#DIV/0!</v>
      </c>
      <c r="R249" s="269">
        <f t="shared" si="196"/>
        <v>0</v>
      </c>
      <c r="S249" s="269" t="e">
        <f t="shared" si="197"/>
        <v>#DIV/0!</v>
      </c>
      <c r="T249" s="269" t="e">
        <f t="shared" si="183"/>
        <v>#DIV/0!</v>
      </c>
      <c r="U249" s="234">
        <f t="shared" si="198"/>
        <v>0</v>
      </c>
      <c r="V249" s="232" t="e">
        <f t="shared" si="199"/>
        <v>#DIV/0!</v>
      </c>
      <c r="W249" s="269" t="e">
        <f t="shared" si="200"/>
        <v>#DIV/0!</v>
      </c>
      <c r="X249" s="235">
        <f t="shared" si="178"/>
        <v>0</v>
      </c>
      <c r="Y249" s="236">
        <f t="shared" si="201"/>
        <v>5</v>
      </c>
      <c r="Z249" s="236" t="e">
        <f t="shared" si="202"/>
        <v>#DIV/0!</v>
      </c>
      <c r="AA249" s="236">
        <f t="shared" si="203"/>
        <v>3</v>
      </c>
      <c r="AB249" s="236" t="e">
        <f t="shared" si="204"/>
        <v>#DIV/0!</v>
      </c>
      <c r="AC249" s="235">
        <f t="shared" si="205"/>
        <v>0</v>
      </c>
      <c r="AD249" s="235">
        <f t="shared" si="206"/>
        <v>0</v>
      </c>
      <c r="AE249" s="279">
        <f t="shared" si="207"/>
        <v>0</v>
      </c>
      <c r="AF249" s="232">
        <f t="shared" si="208"/>
        <v>0</v>
      </c>
      <c r="AG249" s="235">
        <f t="shared" si="209"/>
        <v>0</v>
      </c>
      <c r="AH249" s="269">
        <f t="shared" si="210"/>
        <v>0</v>
      </c>
      <c r="AI249" s="232">
        <f t="shared" si="211"/>
        <v>0</v>
      </c>
      <c r="AJ249" s="235">
        <f t="shared" si="212"/>
        <v>0</v>
      </c>
      <c r="AK249" s="269">
        <f t="shared" si="213"/>
        <v>0</v>
      </c>
      <c r="AL249" s="269">
        <f t="shared" si="179"/>
        <v>0</v>
      </c>
      <c r="AM249" s="281" t="e">
        <f>IF(B249&gt;=mpfo,pos*vvm*Dados!$E$122*(ntudv-SUM(U250:$U$301))-SUM($AM$13:AM248),0)</f>
        <v>#DIV/0!</v>
      </c>
      <c r="AN249" s="269" t="e">
        <f t="shared" si="214"/>
        <v>#DIV/0!</v>
      </c>
      <c r="AO249" s="232" t="e">
        <f t="shared" si="215"/>
        <v>#DIV/0!</v>
      </c>
      <c r="AP249" s="242" t="e">
        <f t="shared" si="216"/>
        <v>#DIV/0!</v>
      </c>
      <c r="AQ249" s="235" t="e">
        <f>IF(AP249+SUM($AQ$12:AQ248)&gt;=0,0,-AP249-SUM($AQ$12:AQ248))</f>
        <v>#DIV/0!</v>
      </c>
      <c r="AR249" s="235">
        <f>IF(SUM($N$13:N248)&gt;=pmo,IF(SUM(N248:$N$501)&gt;(1-pmo),B249,0),0)</f>
        <v>0</v>
      </c>
      <c r="AS249" s="235" t="e">
        <f>IF((SUM($U$13:$U248)/ntudv)&gt;=pmv,IF((SUM($U248:$U$501)/ntudv)&gt;(1-pmv),B249,0),0)</f>
        <v>#DIV/0!</v>
      </c>
      <c r="AT249" s="237" t="e">
        <f>IF(MAX(mmo,mmv)=mmo,IF(B249=AR249,(SUM(N$13:$N248)-pmo)/((1-VLOOKUP(MAX(mmo,mmv)-1,$B$13:$O$501,14))+(VLOOKUP(MAX(mmo,mmv)-1,$B$13:$O$501,14)-pmo)),N248/((1-VLOOKUP(MAX(mmo,mmv)-1,$B$13:$O$501,14)+(VLOOKUP(MAX(mmo,mmv)-1,$B$13:$O$501,14)-pmo)))),N248/(1-VLOOKUP(MAX(mmo,mmv)-2,$B$13:$O$501,14)))</f>
        <v>#DIV/0!</v>
      </c>
      <c r="AU249" s="101" t="e">
        <f t="shared" si="180"/>
        <v>#DIV/0!</v>
      </c>
      <c r="AV249" s="287" t="e">
        <f t="shared" si="181"/>
        <v>#DIV/0!</v>
      </c>
      <c r="AW249" s="235" t="e">
        <f t="shared" si="217"/>
        <v>#DIV/0!</v>
      </c>
      <c r="AX249" s="281">
        <f>IF(B249&gt;mpfo,0,IF(B249=mpfo,(vld-teo*(1+tcfo-incc)^(MAX(mmo,mmv)-mbfo))*-1,IF(SUM($N$13:N248)&gt;=pmo,IF(($V248/ntudv)&gt;=pmv,IF(B249=MAX(mmo,mmv),-teo*(1+tcfo-incc)^(B249-mbfo),0),0),0)))</f>
        <v>0</v>
      </c>
      <c r="AY249" s="292" t="e">
        <f t="shared" si="182"/>
        <v>#DIV/0!</v>
      </c>
      <c r="AZ249" s="235" t="e">
        <f t="shared" si="218"/>
        <v>#DIV/0!</v>
      </c>
      <c r="BA249" s="269" t="e">
        <f t="shared" si="219"/>
        <v>#DIV/0!</v>
      </c>
      <c r="BB249" s="292" t="e">
        <f t="shared" si="220"/>
        <v>#DIV/0!</v>
      </c>
      <c r="BC249" s="238" t="e">
        <f>IF(SUM($BC$13:BC248)&gt;0,0,IF(BB249&gt;0,B249,0))</f>
        <v>#DIV/0!</v>
      </c>
      <c r="BD249" s="292" t="e">
        <f>IF(BB249+SUM($BD$12:BD248)&gt;=0,0,-BB249-SUM($BD$12:BD248))</f>
        <v>#DIV/0!</v>
      </c>
      <c r="BE249" s="235" t="e">
        <f>BB249+SUM($BD$12:BD249)</f>
        <v>#DIV/0!</v>
      </c>
      <c r="BF249" s="292" t="e">
        <f>-MIN(BE249:$BE$501)-SUM(BF$12:$BF248)</f>
        <v>#DIV/0!</v>
      </c>
      <c r="BG249" s="235" t="e">
        <f t="shared" si="185"/>
        <v>#DIV/0!</v>
      </c>
    </row>
    <row r="250" spans="2:59">
      <c r="B250" s="246">
        <v>237</v>
      </c>
      <c r="C250" s="241">
        <f t="shared" si="184"/>
        <v>49892</v>
      </c>
      <c r="D250" s="229">
        <f t="shared" si="186"/>
        <v>8</v>
      </c>
      <c r="E250" s="230" t="str">
        <f t="shared" si="187"/>
        <v>-</v>
      </c>
      <c r="F250" s="231">
        <f t="shared" si="188"/>
        <v>0</v>
      </c>
      <c r="G250" s="231">
        <f t="shared" si="189"/>
        <v>0</v>
      </c>
      <c r="H250" s="231">
        <f t="shared" si="190"/>
        <v>0</v>
      </c>
      <c r="I250" s="268">
        <f t="shared" si="175"/>
        <v>0</v>
      </c>
      <c r="J250" s="269">
        <f t="shared" si="191"/>
        <v>0</v>
      </c>
      <c r="K250" s="269">
        <f t="shared" si="192"/>
        <v>0</v>
      </c>
      <c r="L250" s="269">
        <f t="shared" si="176"/>
        <v>0</v>
      </c>
      <c r="M250" s="269">
        <f t="shared" si="177"/>
        <v>0</v>
      </c>
      <c r="N250" s="233">
        <f>VLOOKUP(B250,Dados!$L$86:$P$90,5)</f>
        <v>0</v>
      </c>
      <c r="O250" s="270">
        <f t="shared" si="193"/>
        <v>0.99999999999999989</v>
      </c>
      <c r="P250" s="269">
        <f t="shared" si="194"/>
        <v>0</v>
      </c>
      <c r="Q250" s="269" t="e">
        <f t="shared" si="195"/>
        <v>#DIV/0!</v>
      </c>
      <c r="R250" s="269">
        <f t="shared" si="196"/>
        <v>0</v>
      </c>
      <c r="S250" s="269" t="e">
        <f t="shared" si="197"/>
        <v>#DIV/0!</v>
      </c>
      <c r="T250" s="269" t="e">
        <f t="shared" si="183"/>
        <v>#DIV/0!</v>
      </c>
      <c r="U250" s="234">
        <f t="shared" si="198"/>
        <v>0</v>
      </c>
      <c r="V250" s="232" t="e">
        <f t="shared" si="199"/>
        <v>#DIV/0!</v>
      </c>
      <c r="W250" s="269" t="e">
        <f t="shared" si="200"/>
        <v>#DIV/0!</v>
      </c>
      <c r="X250" s="235">
        <f t="shared" si="178"/>
        <v>0</v>
      </c>
      <c r="Y250" s="236">
        <f t="shared" si="201"/>
        <v>5</v>
      </c>
      <c r="Z250" s="236" t="e">
        <f t="shared" si="202"/>
        <v>#DIV/0!</v>
      </c>
      <c r="AA250" s="236">
        <f t="shared" si="203"/>
        <v>3</v>
      </c>
      <c r="AB250" s="236" t="e">
        <f t="shared" si="204"/>
        <v>#DIV/0!</v>
      </c>
      <c r="AC250" s="235">
        <f t="shared" si="205"/>
        <v>0</v>
      </c>
      <c r="AD250" s="235">
        <f t="shared" si="206"/>
        <v>0</v>
      </c>
      <c r="AE250" s="279">
        <f t="shared" si="207"/>
        <v>0</v>
      </c>
      <c r="AF250" s="232">
        <f t="shared" si="208"/>
        <v>0</v>
      </c>
      <c r="AG250" s="235">
        <f t="shared" si="209"/>
        <v>0</v>
      </c>
      <c r="AH250" s="269">
        <f t="shared" si="210"/>
        <v>0</v>
      </c>
      <c r="AI250" s="232">
        <f t="shared" si="211"/>
        <v>0</v>
      </c>
      <c r="AJ250" s="235">
        <f t="shared" si="212"/>
        <v>0</v>
      </c>
      <c r="AK250" s="269">
        <f t="shared" si="213"/>
        <v>0</v>
      </c>
      <c r="AL250" s="269">
        <f t="shared" si="179"/>
        <v>0</v>
      </c>
      <c r="AM250" s="281" t="e">
        <f>IF(B250&gt;=mpfo,pos*vvm*Dados!$E$122*(ntudv-SUM(U251:$U$301))-SUM($AM$13:AM249),0)</f>
        <v>#DIV/0!</v>
      </c>
      <c r="AN250" s="269" t="e">
        <f t="shared" si="214"/>
        <v>#DIV/0!</v>
      </c>
      <c r="AO250" s="232" t="e">
        <f t="shared" si="215"/>
        <v>#DIV/0!</v>
      </c>
      <c r="AP250" s="242" t="e">
        <f t="shared" si="216"/>
        <v>#DIV/0!</v>
      </c>
      <c r="AQ250" s="235" t="e">
        <f>IF(AP250+SUM($AQ$12:AQ249)&gt;=0,0,-AP250-SUM($AQ$12:AQ249))</f>
        <v>#DIV/0!</v>
      </c>
      <c r="AR250" s="235">
        <f>IF(SUM($N$13:N249)&gt;=pmo,IF(SUM(N249:$N$501)&gt;(1-pmo),B250,0),0)</f>
        <v>0</v>
      </c>
      <c r="AS250" s="235" t="e">
        <f>IF((SUM($U$13:$U249)/ntudv)&gt;=pmv,IF((SUM($U249:$U$501)/ntudv)&gt;(1-pmv),B250,0),0)</f>
        <v>#DIV/0!</v>
      </c>
      <c r="AT250" s="237" t="e">
        <f>IF(MAX(mmo,mmv)=mmo,IF(B250=AR250,(SUM(N$13:$N249)-pmo)/((1-VLOOKUP(MAX(mmo,mmv)-1,$B$13:$O$501,14))+(VLOOKUP(MAX(mmo,mmv)-1,$B$13:$O$501,14)-pmo)),N249/((1-VLOOKUP(MAX(mmo,mmv)-1,$B$13:$O$501,14)+(VLOOKUP(MAX(mmo,mmv)-1,$B$13:$O$501,14)-pmo)))),N249/(1-VLOOKUP(MAX(mmo,mmv)-2,$B$13:$O$501,14)))</f>
        <v>#DIV/0!</v>
      </c>
      <c r="AU250" s="101" t="e">
        <f t="shared" si="180"/>
        <v>#DIV/0!</v>
      </c>
      <c r="AV250" s="287" t="e">
        <f t="shared" si="181"/>
        <v>#DIV/0!</v>
      </c>
      <c r="AW250" s="235" t="e">
        <f t="shared" si="217"/>
        <v>#DIV/0!</v>
      </c>
      <c r="AX250" s="281">
        <f>IF(B250&gt;mpfo,0,IF(B250=mpfo,(vld-teo*(1+tcfo-incc)^(MAX(mmo,mmv)-mbfo))*-1,IF(SUM($N$13:N249)&gt;=pmo,IF(($V249/ntudv)&gt;=pmv,IF(B250=MAX(mmo,mmv),-teo*(1+tcfo-incc)^(B250-mbfo),0),0),0)))</f>
        <v>0</v>
      </c>
      <c r="AY250" s="292" t="e">
        <f t="shared" si="182"/>
        <v>#DIV/0!</v>
      </c>
      <c r="AZ250" s="235" t="e">
        <f t="shared" si="218"/>
        <v>#DIV/0!</v>
      </c>
      <c r="BA250" s="269" t="e">
        <f t="shared" si="219"/>
        <v>#DIV/0!</v>
      </c>
      <c r="BB250" s="292" t="e">
        <f t="shared" si="220"/>
        <v>#DIV/0!</v>
      </c>
      <c r="BC250" s="238" t="e">
        <f>IF(SUM($BC$13:BC249)&gt;0,0,IF(BB250&gt;0,B250,0))</f>
        <v>#DIV/0!</v>
      </c>
      <c r="BD250" s="292" t="e">
        <f>IF(BB250+SUM($BD$12:BD249)&gt;=0,0,-BB250-SUM($BD$12:BD249))</f>
        <v>#DIV/0!</v>
      </c>
      <c r="BE250" s="235" t="e">
        <f>BB250+SUM($BD$12:BD250)</f>
        <v>#DIV/0!</v>
      </c>
      <c r="BF250" s="292" t="e">
        <f>-MIN(BE250:$BE$501)-SUM(BF$12:$BF249)</f>
        <v>#DIV/0!</v>
      </c>
      <c r="BG250" s="235" t="e">
        <f t="shared" si="185"/>
        <v>#DIV/0!</v>
      </c>
    </row>
    <row r="251" spans="2:59">
      <c r="B251" s="120">
        <v>238</v>
      </c>
      <c r="C251" s="241">
        <f t="shared" si="184"/>
        <v>49923</v>
      </c>
      <c r="D251" s="229">
        <f t="shared" si="186"/>
        <v>9</v>
      </c>
      <c r="E251" s="230" t="str">
        <f t="shared" si="187"/>
        <v>-</v>
      </c>
      <c r="F251" s="231">
        <f t="shared" si="188"/>
        <v>0</v>
      </c>
      <c r="G251" s="231">
        <f t="shared" si="189"/>
        <v>0</v>
      </c>
      <c r="H251" s="231">
        <f t="shared" si="190"/>
        <v>0</v>
      </c>
      <c r="I251" s="268">
        <f t="shared" si="175"/>
        <v>0</v>
      </c>
      <c r="J251" s="269">
        <f t="shared" si="191"/>
        <v>0</v>
      </c>
      <c r="K251" s="269">
        <f t="shared" si="192"/>
        <v>0</v>
      </c>
      <c r="L251" s="269">
        <f t="shared" si="176"/>
        <v>0</v>
      </c>
      <c r="M251" s="269">
        <f t="shared" si="177"/>
        <v>0</v>
      </c>
      <c r="N251" s="233">
        <f>VLOOKUP(B251,Dados!$L$86:$P$90,5)</f>
        <v>0</v>
      </c>
      <c r="O251" s="270">
        <f t="shared" si="193"/>
        <v>0.99999999999999989</v>
      </c>
      <c r="P251" s="269">
        <f t="shared" si="194"/>
        <v>0</v>
      </c>
      <c r="Q251" s="269" t="e">
        <f t="shared" si="195"/>
        <v>#DIV/0!</v>
      </c>
      <c r="R251" s="269">
        <f t="shared" si="196"/>
        <v>0</v>
      </c>
      <c r="S251" s="269" t="e">
        <f t="shared" si="197"/>
        <v>#DIV/0!</v>
      </c>
      <c r="T251" s="269" t="e">
        <f t="shared" si="183"/>
        <v>#DIV/0!</v>
      </c>
      <c r="U251" s="234">
        <f t="shared" si="198"/>
        <v>0</v>
      </c>
      <c r="V251" s="232" t="e">
        <f t="shared" si="199"/>
        <v>#DIV/0!</v>
      </c>
      <c r="W251" s="269" t="e">
        <f t="shared" si="200"/>
        <v>#DIV/0!</v>
      </c>
      <c r="X251" s="235">
        <f t="shared" si="178"/>
        <v>0</v>
      </c>
      <c r="Y251" s="236">
        <f t="shared" si="201"/>
        <v>5</v>
      </c>
      <c r="Z251" s="236" t="e">
        <f t="shared" si="202"/>
        <v>#DIV/0!</v>
      </c>
      <c r="AA251" s="236">
        <f t="shared" si="203"/>
        <v>3</v>
      </c>
      <c r="AB251" s="236" t="e">
        <f t="shared" si="204"/>
        <v>#DIV/0!</v>
      </c>
      <c r="AC251" s="235">
        <f t="shared" si="205"/>
        <v>0</v>
      </c>
      <c r="AD251" s="235">
        <f t="shared" si="206"/>
        <v>0</v>
      </c>
      <c r="AE251" s="279">
        <f t="shared" si="207"/>
        <v>0</v>
      </c>
      <c r="AF251" s="232">
        <f t="shared" si="208"/>
        <v>0</v>
      </c>
      <c r="AG251" s="235">
        <f t="shared" si="209"/>
        <v>0</v>
      </c>
      <c r="AH251" s="269">
        <f t="shared" si="210"/>
        <v>0</v>
      </c>
      <c r="AI251" s="232">
        <f t="shared" si="211"/>
        <v>0</v>
      </c>
      <c r="AJ251" s="235">
        <f t="shared" si="212"/>
        <v>0</v>
      </c>
      <c r="AK251" s="269">
        <f t="shared" si="213"/>
        <v>0</v>
      </c>
      <c r="AL251" s="269">
        <f t="shared" si="179"/>
        <v>0</v>
      </c>
      <c r="AM251" s="281" t="e">
        <f>IF(B251&gt;=mpfo,pos*vvm*Dados!$E$122*(ntudv-SUM(U252:$U$301))-SUM($AM$13:AM250),0)</f>
        <v>#DIV/0!</v>
      </c>
      <c r="AN251" s="269" t="e">
        <f t="shared" si="214"/>
        <v>#DIV/0!</v>
      </c>
      <c r="AO251" s="232" t="e">
        <f t="shared" si="215"/>
        <v>#DIV/0!</v>
      </c>
      <c r="AP251" s="242" t="e">
        <f t="shared" si="216"/>
        <v>#DIV/0!</v>
      </c>
      <c r="AQ251" s="235" t="e">
        <f>IF(AP251+SUM($AQ$12:AQ250)&gt;=0,0,-AP251-SUM($AQ$12:AQ250))</f>
        <v>#DIV/0!</v>
      </c>
      <c r="AR251" s="235">
        <f>IF(SUM($N$13:N250)&gt;=pmo,IF(SUM(N250:$N$501)&gt;(1-pmo),B251,0),0)</f>
        <v>0</v>
      </c>
      <c r="AS251" s="235" t="e">
        <f>IF((SUM($U$13:$U250)/ntudv)&gt;=pmv,IF((SUM($U250:$U$501)/ntudv)&gt;(1-pmv),B251,0),0)</f>
        <v>#DIV/0!</v>
      </c>
      <c r="AT251" s="237" t="e">
        <f>IF(MAX(mmo,mmv)=mmo,IF(B251=AR251,(SUM(N$13:$N250)-pmo)/((1-VLOOKUP(MAX(mmo,mmv)-1,$B$13:$O$501,14))+(VLOOKUP(MAX(mmo,mmv)-1,$B$13:$O$501,14)-pmo)),N250/((1-VLOOKUP(MAX(mmo,mmv)-1,$B$13:$O$501,14)+(VLOOKUP(MAX(mmo,mmv)-1,$B$13:$O$501,14)-pmo)))),N250/(1-VLOOKUP(MAX(mmo,mmv)-2,$B$13:$O$501,14)))</f>
        <v>#DIV/0!</v>
      </c>
      <c r="AU251" s="101" t="e">
        <f t="shared" si="180"/>
        <v>#DIV/0!</v>
      </c>
      <c r="AV251" s="287" t="e">
        <f t="shared" si="181"/>
        <v>#DIV/0!</v>
      </c>
      <c r="AW251" s="235" t="e">
        <f t="shared" si="217"/>
        <v>#DIV/0!</v>
      </c>
      <c r="AX251" s="281">
        <f>IF(B251&gt;mpfo,0,IF(B251=mpfo,(vld-teo*(1+tcfo-incc)^(MAX(mmo,mmv)-mbfo))*-1,IF(SUM($N$13:N250)&gt;=pmo,IF(($V250/ntudv)&gt;=pmv,IF(B251=MAX(mmo,mmv),-teo*(1+tcfo-incc)^(B251-mbfo),0),0),0)))</f>
        <v>0</v>
      </c>
      <c r="AY251" s="292" t="e">
        <f t="shared" si="182"/>
        <v>#DIV/0!</v>
      </c>
      <c r="AZ251" s="235" t="e">
        <f t="shared" si="218"/>
        <v>#DIV/0!</v>
      </c>
      <c r="BA251" s="269" t="e">
        <f t="shared" si="219"/>
        <v>#DIV/0!</v>
      </c>
      <c r="BB251" s="292" t="e">
        <f t="shared" si="220"/>
        <v>#DIV/0!</v>
      </c>
      <c r="BC251" s="238" t="e">
        <f>IF(SUM($BC$13:BC250)&gt;0,0,IF(BB251&gt;0,B251,0))</f>
        <v>#DIV/0!</v>
      </c>
      <c r="BD251" s="292" t="e">
        <f>IF(BB251+SUM($BD$12:BD250)&gt;=0,0,-BB251-SUM($BD$12:BD250))</f>
        <v>#DIV/0!</v>
      </c>
      <c r="BE251" s="235" t="e">
        <f>BB251+SUM($BD$12:BD251)</f>
        <v>#DIV/0!</v>
      </c>
      <c r="BF251" s="292" t="e">
        <f>-MIN(BE251:$BE$501)-SUM(BF$12:$BF250)</f>
        <v>#DIV/0!</v>
      </c>
      <c r="BG251" s="235" t="e">
        <f t="shared" si="185"/>
        <v>#DIV/0!</v>
      </c>
    </row>
    <row r="252" spans="2:59">
      <c r="B252" s="246">
        <v>239</v>
      </c>
      <c r="C252" s="241">
        <f t="shared" si="184"/>
        <v>49953</v>
      </c>
      <c r="D252" s="229">
        <f t="shared" si="186"/>
        <v>10</v>
      </c>
      <c r="E252" s="230" t="str">
        <f t="shared" si="187"/>
        <v>-</v>
      </c>
      <c r="F252" s="231">
        <f t="shared" si="188"/>
        <v>0</v>
      </c>
      <c r="G252" s="231">
        <f t="shared" si="189"/>
        <v>0</v>
      </c>
      <c r="H252" s="231">
        <f t="shared" si="190"/>
        <v>0</v>
      </c>
      <c r="I252" s="268">
        <f t="shared" si="175"/>
        <v>0</v>
      </c>
      <c r="J252" s="269">
        <f t="shared" si="191"/>
        <v>0</v>
      </c>
      <c r="K252" s="269">
        <f t="shared" si="192"/>
        <v>0</v>
      </c>
      <c r="L252" s="269">
        <f t="shared" si="176"/>
        <v>0</v>
      </c>
      <c r="M252" s="269">
        <f t="shared" si="177"/>
        <v>0</v>
      </c>
      <c r="N252" s="233">
        <f>VLOOKUP(B252,Dados!$L$86:$P$90,5)</f>
        <v>0</v>
      </c>
      <c r="O252" s="270">
        <f t="shared" si="193"/>
        <v>0.99999999999999989</v>
      </c>
      <c r="P252" s="269">
        <f t="shared" si="194"/>
        <v>0</v>
      </c>
      <c r="Q252" s="269" t="e">
        <f t="shared" si="195"/>
        <v>#DIV/0!</v>
      </c>
      <c r="R252" s="269">
        <f t="shared" si="196"/>
        <v>0</v>
      </c>
      <c r="S252" s="269" t="e">
        <f t="shared" si="197"/>
        <v>#DIV/0!</v>
      </c>
      <c r="T252" s="269" t="e">
        <f t="shared" si="183"/>
        <v>#DIV/0!</v>
      </c>
      <c r="U252" s="234">
        <f t="shared" si="198"/>
        <v>0</v>
      </c>
      <c r="V252" s="232" t="e">
        <f t="shared" si="199"/>
        <v>#DIV/0!</v>
      </c>
      <c r="W252" s="269" t="e">
        <f t="shared" si="200"/>
        <v>#DIV/0!</v>
      </c>
      <c r="X252" s="235">
        <f t="shared" si="178"/>
        <v>0</v>
      </c>
      <c r="Y252" s="236">
        <f t="shared" si="201"/>
        <v>5</v>
      </c>
      <c r="Z252" s="236" t="e">
        <f t="shared" si="202"/>
        <v>#DIV/0!</v>
      </c>
      <c r="AA252" s="236">
        <f t="shared" si="203"/>
        <v>3</v>
      </c>
      <c r="AB252" s="236" t="e">
        <f t="shared" si="204"/>
        <v>#DIV/0!</v>
      </c>
      <c r="AC252" s="235">
        <f t="shared" si="205"/>
        <v>0</v>
      </c>
      <c r="AD252" s="235">
        <f t="shared" si="206"/>
        <v>0</v>
      </c>
      <c r="AE252" s="279">
        <f t="shared" si="207"/>
        <v>0</v>
      </c>
      <c r="AF252" s="232">
        <f t="shared" si="208"/>
        <v>0</v>
      </c>
      <c r="AG252" s="235">
        <f t="shared" si="209"/>
        <v>0</v>
      </c>
      <c r="AH252" s="269">
        <f t="shared" si="210"/>
        <v>0</v>
      </c>
      <c r="AI252" s="232">
        <f t="shared" si="211"/>
        <v>0</v>
      </c>
      <c r="AJ252" s="235">
        <f t="shared" si="212"/>
        <v>0</v>
      </c>
      <c r="AK252" s="269">
        <f t="shared" si="213"/>
        <v>0</v>
      </c>
      <c r="AL252" s="269">
        <f t="shared" si="179"/>
        <v>0</v>
      </c>
      <c r="AM252" s="281" t="e">
        <f>IF(B252&gt;=mpfo,pos*vvm*Dados!$E$122*(ntudv-SUM(U253:$U$301))-SUM($AM$13:AM251),0)</f>
        <v>#DIV/0!</v>
      </c>
      <c r="AN252" s="269" t="e">
        <f t="shared" si="214"/>
        <v>#DIV/0!</v>
      </c>
      <c r="AO252" s="232" t="e">
        <f t="shared" si="215"/>
        <v>#DIV/0!</v>
      </c>
      <c r="AP252" s="242" t="e">
        <f t="shared" si="216"/>
        <v>#DIV/0!</v>
      </c>
      <c r="AQ252" s="235" t="e">
        <f>IF(AP252+SUM($AQ$12:AQ251)&gt;=0,0,-AP252-SUM($AQ$12:AQ251))</f>
        <v>#DIV/0!</v>
      </c>
      <c r="AR252" s="235">
        <f>IF(SUM($N$13:N251)&gt;=pmo,IF(SUM(N251:$N$501)&gt;(1-pmo),B252,0),0)</f>
        <v>0</v>
      </c>
      <c r="AS252" s="235" t="e">
        <f>IF((SUM($U$13:$U251)/ntudv)&gt;=pmv,IF((SUM($U251:$U$501)/ntudv)&gt;(1-pmv),B252,0),0)</f>
        <v>#DIV/0!</v>
      </c>
      <c r="AT252" s="237" t="e">
        <f>IF(MAX(mmo,mmv)=mmo,IF(B252=AR252,(SUM(N$13:$N251)-pmo)/((1-VLOOKUP(MAX(mmo,mmv)-1,$B$13:$O$501,14))+(VLOOKUP(MAX(mmo,mmv)-1,$B$13:$O$501,14)-pmo)),N251/((1-VLOOKUP(MAX(mmo,mmv)-1,$B$13:$O$501,14)+(VLOOKUP(MAX(mmo,mmv)-1,$B$13:$O$501,14)-pmo)))),N251/(1-VLOOKUP(MAX(mmo,mmv)-2,$B$13:$O$501,14)))</f>
        <v>#DIV/0!</v>
      </c>
      <c r="AU252" s="101" t="e">
        <f t="shared" si="180"/>
        <v>#DIV/0!</v>
      </c>
      <c r="AV252" s="287" t="e">
        <f t="shared" si="181"/>
        <v>#DIV/0!</v>
      </c>
      <c r="AW252" s="235" t="e">
        <f t="shared" si="217"/>
        <v>#DIV/0!</v>
      </c>
      <c r="AX252" s="281">
        <f>IF(B252&gt;mpfo,0,IF(B252=mpfo,(vld-teo*(1+tcfo-incc)^(MAX(mmo,mmv)-mbfo))*-1,IF(SUM($N$13:N251)&gt;=pmo,IF(($V251/ntudv)&gt;=pmv,IF(B252=MAX(mmo,mmv),-teo*(1+tcfo-incc)^(B252-mbfo),0),0),0)))</f>
        <v>0</v>
      </c>
      <c r="AY252" s="292" t="e">
        <f t="shared" si="182"/>
        <v>#DIV/0!</v>
      </c>
      <c r="AZ252" s="235" t="e">
        <f t="shared" si="218"/>
        <v>#DIV/0!</v>
      </c>
      <c r="BA252" s="269" t="e">
        <f t="shared" si="219"/>
        <v>#DIV/0!</v>
      </c>
      <c r="BB252" s="292" t="e">
        <f t="shared" si="220"/>
        <v>#DIV/0!</v>
      </c>
      <c r="BC252" s="238" t="e">
        <f>IF(SUM($BC$13:BC251)&gt;0,0,IF(BB252&gt;0,B252,0))</f>
        <v>#DIV/0!</v>
      </c>
      <c r="BD252" s="292" t="e">
        <f>IF(BB252+SUM($BD$12:BD251)&gt;=0,0,-BB252-SUM($BD$12:BD251))</f>
        <v>#DIV/0!</v>
      </c>
      <c r="BE252" s="235" t="e">
        <f>BB252+SUM($BD$12:BD252)</f>
        <v>#DIV/0!</v>
      </c>
      <c r="BF252" s="292" t="e">
        <f>-MIN(BE252:$BE$501)-SUM(BF$12:$BF251)</f>
        <v>#DIV/0!</v>
      </c>
      <c r="BG252" s="235" t="e">
        <f t="shared" si="185"/>
        <v>#DIV/0!</v>
      </c>
    </row>
    <row r="253" spans="2:59">
      <c r="B253" s="120">
        <v>240</v>
      </c>
      <c r="C253" s="241">
        <f t="shared" si="184"/>
        <v>49984</v>
      </c>
      <c r="D253" s="229">
        <f t="shared" si="186"/>
        <v>11</v>
      </c>
      <c r="E253" s="230" t="str">
        <f t="shared" si="187"/>
        <v>-</v>
      </c>
      <c r="F253" s="231">
        <f t="shared" si="188"/>
        <v>0</v>
      </c>
      <c r="G253" s="231">
        <f t="shared" si="189"/>
        <v>0</v>
      </c>
      <c r="H253" s="231">
        <f t="shared" si="190"/>
        <v>0</v>
      </c>
      <c r="I253" s="268">
        <f t="shared" si="175"/>
        <v>0</v>
      </c>
      <c r="J253" s="269">
        <f t="shared" si="191"/>
        <v>0</v>
      </c>
      <c r="K253" s="269">
        <f t="shared" si="192"/>
        <v>0</v>
      </c>
      <c r="L253" s="269">
        <f t="shared" si="176"/>
        <v>0</v>
      </c>
      <c r="M253" s="269">
        <f t="shared" si="177"/>
        <v>0</v>
      </c>
      <c r="N253" s="233">
        <f>VLOOKUP(B253,Dados!$L$86:$P$90,5)</f>
        <v>0</v>
      </c>
      <c r="O253" s="270">
        <f t="shared" si="193"/>
        <v>0.99999999999999989</v>
      </c>
      <c r="P253" s="269">
        <f t="shared" si="194"/>
        <v>0</v>
      </c>
      <c r="Q253" s="269" t="e">
        <f t="shared" si="195"/>
        <v>#DIV/0!</v>
      </c>
      <c r="R253" s="269">
        <f t="shared" si="196"/>
        <v>0</v>
      </c>
      <c r="S253" s="269" t="e">
        <f t="shared" si="197"/>
        <v>#DIV/0!</v>
      </c>
      <c r="T253" s="269" t="e">
        <f t="shared" si="183"/>
        <v>#DIV/0!</v>
      </c>
      <c r="U253" s="234">
        <f t="shared" si="198"/>
        <v>0</v>
      </c>
      <c r="V253" s="232" t="e">
        <f t="shared" si="199"/>
        <v>#DIV/0!</v>
      </c>
      <c r="W253" s="269" t="e">
        <f t="shared" si="200"/>
        <v>#DIV/0!</v>
      </c>
      <c r="X253" s="235">
        <f t="shared" si="178"/>
        <v>0</v>
      </c>
      <c r="Y253" s="236">
        <f t="shared" si="201"/>
        <v>5</v>
      </c>
      <c r="Z253" s="236" t="e">
        <f t="shared" si="202"/>
        <v>#DIV/0!</v>
      </c>
      <c r="AA253" s="236">
        <f t="shared" si="203"/>
        <v>3</v>
      </c>
      <c r="AB253" s="236" t="e">
        <f t="shared" si="204"/>
        <v>#DIV/0!</v>
      </c>
      <c r="AC253" s="235">
        <f t="shared" si="205"/>
        <v>0</v>
      </c>
      <c r="AD253" s="235">
        <f t="shared" si="206"/>
        <v>0</v>
      </c>
      <c r="AE253" s="279">
        <f t="shared" si="207"/>
        <v>0</v>
      </c>
      <c r="AF253" s="232">
        <f t="shared" si="208"/>
        <v>0</v>
      </c>
      <c r="AG253" s="235">
        <f t="shared" si="209"/>
        <v>0</v>
      </c>
      <c r="AH253" s="269">
        <f t="shared" si="210"/>
        <v>0</v>
      </c>
      <c r="AI253" s="232">
        <f t="shared" si="211"/>
        <v>0</v>
      </c>
      <c r="AJ253" s="235">
        <f t="shared" si="212"/>
        <v>0</v>
      </c>
      <c r="AK253" s="269">
        <f t="shared" si="213"/>
        <v>0</v>
      </c>
      <c r="AL253" s="269">
        <f t="shared" si="179"/>
        <v>0</v>
      </c>
      <c r="AM253" s="281" t="e">
        <f>IF(B253&gt;=mpfo,pos*vvm*Dados!$E$122*(ntudv-SUM(U254:$U$301))-SUM($AM$13:AM252),0)</f>
        <v>#DIV/0!</v>
      </c>
      <c r="AN253" s="269" t="e">
        <f t="shared" si="214"/>
        <v>#DIV/0!</v>
      </c>
      <c r="AO253" s="232" t="e">
        <f t="shared" si="215"/>
        <v>#DIV/0!</v>
      </c>
      <c r="AP253" s="242" t="e">
        <f t="shared" si="216"/>
        <v>#DIV/0!</v>
      </c>
      <c r="AQ253" s="235" t="e">
        <f>IF(AP253+SUM($AQ$12:AQ252)&gt;=0,0,-AP253-SUM($AQ$12:AQ252))</f>
        <v>#DIV/0!</v>
      </c>
      <c r="AR253" s="235">
        <f>IF(SUM($N$13:N252)&gt;=pmo,IF(SUM(N252:$N$501)&gt;(1-pmo),B253,0),0)</f>
        <v>0</v>
      </c>
      <c r="AS253" s="235" t="e">
        <f>IF((SUM($U$13:$U252)/ntudv)&gt;=pmv,IF((SUM($U252:$U$501)/ntudv)&gt;(1-pmv),B253,0),0)</f>
        <v>#DIV/0!</v>
      </c>
      <c r="AT253" s="237" t="e">
        <f>IF(MAX(mmo,mmv)=mmo,IF(B253=AR253,(SUM(N$13:$N252)-pmo)/((1-VLOOKUP(MAX(mmo,mmv)-1,$B$13:$O$501,14))+(VLOOKUP(MAX(mmo,mmv)-1,$B$13:$O$501,14)-pmo)),N252/((1-VLOOKUP(MAX(mmo,mmv)-1,$B$13:$O$501,14)+(VLOOKUP(MAX(mmo,mmv)-1,$B$13:$O$501,14)-pmo)))),N252/(1-VLOOKUP(MAX(mmo,mmv)-2,$B$13:$O$501,14)))</f>
        <v>#DIV/0!</v>
      </c>
      <c r="AU253" s="101" t="e">
        <f t="shared" si="180"/>
        <v>#DIV/0!</v>
      </c>
      <c r="AV253" s="287" t="e">
        <f t="shared" si="181"/>
        <v>#DIV/0!</v>
      </c>
      <c r="AW253" s="235" t="e">
        <f t="shared" si="217"/>
        <v>#DIV/0!</v>
      </c>
      <c r="AX253" s="281">
        <f>IF(B253&gt;mpfo,0,IF(B253=mpfo,(vld-teo*(1+tcfo-incc)^(MAX(mmo,mmv)-mbfo))*-1,IF(SUM($N$13:N252)&gt;=pmo,IF(($V252/ntudv)&gt;=pmv,IF(B253=MAX(mmo,mmv),-teo*(1+tcfo-incc)^(B253-mbfo),0),0),0)))</f>
        <v>0</v>
      </c>
      <c r="AY253" s="292" t="e">
        <f t="shared" si="182"/>
        <v>#DIV/0!</v>
      </c>
      <c r="AZ253" s="235" t="e">
        <f t="shared" si="218"/>
        <v>#DIV/0!</v>
      </c>
      <c r="BA253" s="269" t="e">
        <f t="shared" si="219"/>
        <v>#DIV/0!</v>
      </c>
      <c r="BB253" s="292" t="e">
        <f t="shared" si="220"/>
        <v>#DIV/0!</v>
      </c>
      <c r="BC253" s="238" t="e">
        <f>IF(SUM($BC$13:BC252)&gt;0,0,IF(BB253&gt;0,B253,0))</f>
        <v>#DIV/0!</v>
      </c>
      <c r="BD253" s="292" t="e">
        <f>IF(BB253+SUM($BD$12:BD252)&gt;=0,0,-BB253-SUM($BD$12:BD252))</f>
        <v>#DIV/0!</v>
      </c>
      <c r="BE253" s="235" t="e">
        <f>BB253+SUM($BD$12:BD253)</f>
        <v>#DIV/0!</v>
      </c>
      <c r="BF253" s="292" t="e">
        <f>-MIN(BE253:$BE$501)-SUM(BF$12:$BF252)</f>
        <v>#DIV/0!</v>
      </c>
      <c r="BG253" s="235" t="e">
        <f t="shared" si="185"/>
        <v>#DIV/0!</v>
      </c>
    </row>
    <row r="254" spans="2:59">
      <c r="B254" s="246">
        <v>241</v>
      </c>
      <c r="C254" s="241">
        <f t="shared" si="184"/>
        <v>50014</v>
      </c>
      <c r="D254" s="229">
        <f t="shared" si="186"/>
        <v>12</v>
      </c>
      <c r="E254" s="230" t="str">
        <f t="shared" si="187"/>
        <v>-</v>
      </c>
      <c r="F254" s="231">
        <f t="shared" si="188"/>
        <v>0</v>
      </c>
      <c r="G254" s="231">
        <f t="shared" si="189"/>
        <v>0</v>
      </c>
      <c r="H254" s="231">
        <f t="shared" si="190"/>
        <v>0</v>
      </c>
      <c r="I254" s="268">
        <f t="shared" si="175"/>
        <v>0</v>
      </c>
      <c r="J254" s="269">
        <f t="shared" si="191"/>
        <v>0</v>
      </c>
      <c r="K254" s="269">
        <f t="shared" si="192"/>
        <v>0</v>
      </c>
      <c r="L254" s="269">
        <f t="shared" si="176"/>
        <v>0</v>
      </c>
      <c r="M254" s="269">
        <f t="shared" si="177"/>
        <v>0</v>
      </c>
      <c r="N254" s="233">
        <f>VLOOKUP(B254,Dados!$L$86:$P$90,5)</f>
        <v>0</v>
      </c>
      <c r="O254" s="270">
        <f t="shared" si="193"/>
        <v>0.99999999999999989</v>
      </c>
      <c r="P254" s="269">
        <f t="shared" si="194"/>
        <v>0</v>
      </c>
      <c r="Q254" s="269" t="e">
        <f t="shared" si="195"/>
        <v>#DIV/0!</v>
      </c>
      <c r="R254" s="269">
        <f t="shared" si="196"/>
        <v>0</v>
      </c>
      <c r="S254" s="269" t="e">
        <f t="shared" si="197"/>
        <v>#DIV/0!</v>
      </c>
      <c r="T254" s="269" t="e">
        <f t="shared" si="183"/>
        <v>#DIV/0!</v>
      </c>
      <c r="U254" s="234">
        <f t="shared" si="198"/>
        <v>0</v>
      </c>
      <c r="V254" s="232" t="e">
        <f t="shared" si="199"/>
        <v>#DIV/0!</v>
      </c>
      <c r="W254" s="269" t="e">
        <f t="shared" si="200"/>
        <v>#DIV/0!</v>
      </c>
      <c r="X254" s="235">
        <f t="shared" si="178"/>
        <v>0</v>
      </c>
      <c r="Y254" s="236">
        <f t="shared" si="201"/>
        <v>5</v>
      </c>
      <c r="Z254" s="236" t="e">
        <f t="shared" si="202"/>
        <v>#DIV/0!</v>
      </c>
      <c r="AA254" s="236">
        <f t="shared" si="203"/>
        <v>3</v>
      </c>
      <c r="AB254" s="236" t="e">
        <f t="shared" si="204"/>
        <v>#DIV/0!</v>
      </c>
      <c r="AC254" s="235">
        <f t="shared" si="205"/>
        <v>0</v>
      </c>
      <c r="AD254" s="235">
        <f t="shared" si="206"/>
        <v>0</v>
      </c>
      <c r="AE254" s="279">
        <f t="shared" si="207"/>
        <v>0</v>
      </c>
      <c r="AF254" s="232">
        <f t="shared" si="208"/>
        <v>1</v>
      </c>
      <c r="AG254" s="235">
        <f t="shared" si="209"/>
        <v>0</v>
      </c>
      <c r="AH254" s="269">
        <f t="shared" si="210"/>
        <v>0</v>
      </c>
      <c r="AI254" s="232">
        <f t="shared" si="211"/>
        <v>1</v>
      </c>
      <c r="AJ254" s="235">
        <f t="shared" si="212"/>
        <v>0</v>
      </c>
      <c r="AK254" s="269">
        <f t="shared" si="213"/>
        <v>0</v>
      </c>
      <c r="AL254" s="269">
        <f t="shared" si="179"/>
        <v>0</v>
      </c>
      <c r="AM254" s="281" t="e">
        <f>IF(B254&gt;=mpfo,pos*vvm*Dados!$E$122*(ntudv-SUM(U255:$U$301))-SUM($AM$13:AM253),0)</f>
        <v>#DIV/0!</v>
      </c>
      <c r="AN254" s="269" t="e">
        <f t="shared" si="214"/>
        <v>#DIV/0!</v>
      </c>
      <c r="AO254" s="232" t="e">
        <f t="shared" si="215"/>
        <v>#DIV/0!</v>
      </c>
      <c r="AP254" s="242" t="e">
        <f t="shared" si="216"/>
        <v>#DIV/0!</v>
      </c>
      <c r="AQ254" s="235" t="e">
        <f>IF(AP254+SUM($AQ$12:AQ253)&gt;=0,0,-AP254-SUM($AQ$12:AQ253))</f>
        <v>#DIV/0!</v>
      </c>
      <c r="AR254" s="235">
        <f>IF(SUM($N$13:N253)&gt;=pmo,IF(SUM(N253:$N$501)&gt;(1-pmo),B254,0),0)</f>
        <v>0</v>
      </c>
      <c r="AS254" s="235" t="e">
        <f>IF((SUM($U$13:$U253)/ntudv)&gt;=pmv,IF((SUM($U253:$U$501)/ntudv)&gt;(1-pmv),B254,0),0)</f>
        <v>#DIV/0!</v>
      </c>
      <c r="AT254" s="237" t="e">
        <f>IF(MAX(mmo,mmv)=mmo,IF(B254=AR254,(SUM(N$13:$N253)-pmo)/((1-VLOOKUP(MAX(mmo,mmv)-1,$B$13:$O$501,14))+(VLOOKUP(MAX(mmo,mmv)-1,$B$13:$O$501,14)-pmo)),N253/((1-VLOOKUP(MAX(mmo,mmv)-1,$B$13:$O$501,14)+(VLOOKUP(MAX(mmo,mmv)-1,$B$13:$O$501,14)-pmo)))),N253/(1-VLOOKUP(MAX(mmo,mmv)-2,$B$13:$O$501,14)))</f>
        <v>#DIV/0!</v>
      </c>
      <c r="AU254" s="101" t="e">
        <f t="shared" si="180"/>
        <v>#DIV/0!</v>
      </c>
      <c r="AV254" s="287" t="e">
        <f t="shared" si="181"/>
        <v>#DIV/0!</v>
      </c>
      <c r="AW254" s="235" t="e">
        <f t="shared" si="217"/>
        <v>#DIV/0!</v>
      </c>
      <c r="AX254" s="281">
        <f>IF(B254&gt;mpfo,0,IF(B254=mpfo,(vld-teo*(1+tcfo-incc)^(MAX(mmo,mmv)-mbfo))*-1,IF(SUM($N$13:N253)&gt;=pmo,IF(($V253/ntudv)&gt;=pmv,IF(B254=MAX(mmo,mmv),-teo*(1+tcfo-incc)^(B254-mbfo),0),0),0)))</f>
        <v>0</v>
      </c>
      <c r="AY254" s="292" t="e">
        <f t="shared" si="182"/>
        <v>#DIV/0!</v>
      </c>
      <c r="AZ254" s="235" t="e">
        <f t="shared" si="218"/>
        <v>#DIV/0!</v>
      </c>
      <c r="BA254" s="269" t="e">
        <f t="shared" si="219"/>
        <v>#DIV/0!</v>
      </c>
      <c r="BB254" s="292" t="e">
        <f t="shared" si="220"/>
        <v>#DIV/0!</v>
      </c>
      <c r="BC254" s="238" t="e">
        <f>IF(SUM($BC$13:BC253)&gt;0,0,IF(BB254&gt;0,B254,0))</f>
        <v>#DIV/0!</v>
      </c>
      <c r="BD254" s="292" t="e">
        <f>IF(BB254+SUM($BD$12:BD253)&gt;=0,0,-BB254-SUM($BD$12:BD253))</f>
        <v>#DIV/0!</v>
      </c>
      <c r="BE254" s="235" t="e">
        <f>BB254+SUM($BD$12:BD254)</f>
        <v>#DIV/0!</v>
      </c>
      <c r="BF254" s="292" t="e">
        <f>-MIN(BE254:$BE$501)-SUM(BF$12:$BF253)</f>
        <v>#DIV/0!</v>
      </c>
      <c r="BG254" s="235" t="e">
        <f t="shared" si="185"/>
        <v>#DIV/0!</v>
      </c>
    </row>
    <row r="255" spans="2:59">
      <c r="B255" s="120">
        <v>242</v>
      </c>
      <c r="C255" s="241">
        <f t="shared" si="184"/>
        <v>50045</v>
      </c>
      <c r="D255" s="229">
        <f t="shared" si="186"/>
        <v>1</v>
      </c>
      <c r="E255" s="230" t="str">
        <f t="shared" si="187"/>
        <v>-</v>
      </c>
      <c r="F255" s="231">
        <f t="shared" si="188"/>
        <v>0</v>
      </c>
      <c r="G255" s="231">
        <f t="shared" si="189"/>
        <v>0</v>
      </c>
      <c r="H255" s="231">
        <f t="shared" si="190"/>
        <v>0</v>
      </c>
      <c r="I255" s="268">
        <f t="shared" si="175"/>
        <v>0</v>
      </c>
      <c r="J255" s="269">
        <f t="shared" si="191"/>
        <v>0</v>
      </c>
      <c r="K255" s="269">
        <f t="shared" si="192"/>
        <v>0</v>
      </c>
      <c r="L255" s="269">
        <f t="shared" si="176"/>
        <v>0</v>
      </c>
      <c r="M255" s="269">
        <f t="shared" si="177"/>
        <v>0</v>
      </c>
      <c r="N255" s="233">
        <f>VLOOKUP(B255,Dados!$L$86:$P$90,5)</f>
        <v>0</v>
      </c>
      <c r="O255" s="270">
        <f t="shared" si="193"/>
        <v>0.99999999999999989</v>
      </c>
      <c r="P255" s="269">
        <f t="shared" si="194"/>
        <v>0</v>
      </c>
      <c r="Q255" s="269" t="e">
        <f t="shared" si="195"/>
        <v>#DIV/0!</v>
      </c>
      <c r="R255" s="269">
        <f t="shared" si="196"/>
        <v>0</v>
      </c>
      <c r="S255" s="269" t="e">
        <f t="shared" si="197"/>
        <v>#DIV/0!</v>
      </c>
      <c r="T255" s="269" t="e">
        <f t="shared" si="183"/>
        <v>#DIV/0!</v>
      </c>
      <c r="U255" s="234">
        <f t="shared" si="198"/>
        <v>0</v>
      </c>
      <c r="V255" s="232" t="e">
        <f t="shared" si="199"/>
        <v>#DIV/0!</v>
      </c>
      <c r="W255" s="269" t="e">
        <f t="shared" si="200"/>
        <v>#DIV/0!</v>
      </c>
      <c r="X255" s="235">
        <f t="shared" si="178"/>
        <v>0</v>
      </c>
      <c r="Y255" s="236">
        <f t="shared" si="201"/>
        <v>5</v>
      </c>
      <c r="Z255" s="236" t="e">
        <f t="shared" si="202"/>
        <v>#DIV/0!</v>
      </c>
      <c r="AA255" s="236">
        <f t="shared" si="203"/>
        <v>3</v>
      </c>
      <c r="AB255" s="236" t="e">
        <f t="shared" si="204"/>
        <v>#DIV/0!</v>
      </c>
      <c r="AC255" s="235">
        <f t="shared" si="205"/>
        <v>0</v>
      </c>
      <c r="AD255" s="235">
        <f t="shared" si="206"/>
        <v>0</v>
      </c>
      <c r="AE255" s="279">
        <f t="shared" si="207"/>
        <v>0</v>
      </c>
      <c r="AF255" s="232">
        <f t="shared" si="208"/>
        <v>0</v>
      </c>
      <c r="AG255" s="235">
        <f t="shared" si="209"/>
        <v>0</v>
      </c>
      <c r="AH255" s="269">
        <f t="shared" si="210"/>
        <v>0</v>
      </c>
      <c r="AI255" s="232">
        <f t="shared" si="211"/>
        <v>0</v>
      </c>
      <c r="AJ255" s="235">
        <f t="shared" si="212"/>
        <v>0</v>
      </c>
      <c r="AK255" s="269">
        <f t="shared" si="213"/>
        <v>0</v>
      </c>
      <c r="AL255" s="269">
        <f t="shared" si="179"/>
        <v>0</v>
      </c>
      <c r="AM255" s="281" t="e">
        <f>IF(B255&gt;=mpfo,pos*vvm*Dados!$E$122*(ntudv-SUM(U256:$U$301))-SUM($AM$13:AM254),0)</f>
        <v>#DIV/0!</v>
      </c>
      <c r="AN255" s="269" t="e">
        <f t="shared" si="214"/>
        <v>#DIV/0!</v>
      </c>
      <c r="AO255" s="232" t="e">
        <f t="shared" si="215"/>
        <v>#DIV/0!</v>
      </c>
      <c r="AP255" s="242" t="e">
        <f t="shared" si="216"/>
        <v>#DIV/0!</v>
      </c>
      <c r="AQ255" s="235" t="e">
        <f>IF(AP255+SUM($AQ$12:AQ254)&gt;=0,0,-AP255-SUM($AQ$12:AQ254))</f>
        <v>#DIV/0!</v>
      </c>
      <c r="AR255" s="235">
        <f>IF(SUM($N$13:N254)&gt;=pmo,IF(SUM(N254:$N$501)&gt;(1-pmo),B255,0),0)</f>
        <v>0</v>
      </c>
      <c r="AS255" s="235" t="e">
        <f>IF((SUM($U$13:$U254)/ntudv)&gt;=pmv,IF((SUM($U254:$U$501)/ntudv)&gt;(1-pmv),B255,0),0)</f>
        <v>#DIV/0!</v>
      </c>
      <c r="AT255" s="237" t="e">
        <f>IF(MAX(mmo,mmv)=mmo,IF(B255=AR255,(SUM(N$13:$N254)-pmo)/((1-VLOOKUP(MAX(mmo,mmv)-1,$B$13:$O$501,14))+(VLOOKUP(MAX(mmo,mmv)-1,$B$13:$O$501,14)-pmo)),N254/((1-VLOOKUP(MAX(mmo,mmv)-1,$B$13:$O$501,14)+(VLOOKUP(MAX(mmo,mmv)-1,$B$13:$O$501,14)-pmo)))),N254/(1-VLOOKUP(MAX(mmo,mmv)-2,$B$13:$O$501,14)))</f>
        <v>#DIV/0!</v>
      </c>
      <c r="AU255" s="101" t="e">
        <f t="shared" si="180"/>
        <v>#DIV/0!</v>
      </c>
      <c r="AV255" s="287" t="e">
        <f t="shared" si="181"/>
        <v>#DIV/0!</v>
      </c>
      <c r="AW255" s="235" t="e">
        <f t="shared" si="217"/>
        <v>#DIV/0!</v>
      </c>
      <c r="AX255" s="281">
        <f>IF(B255&gt;mpfo,0,IF(B255=mpfo,(vld-teo*(1+tcfo-incc)^(MAX(mmo,mmv)-mbfo))*-1,IF(SUM($N$13:N254)&gt;=pmo,IF(($V254/ntudv)&gt;=pmv,IF(B255=MAX(mmo,mmv),-teo*(1+tcfo-incc)^(B255-mbfo),0),0),0)))</f>
        <v>0</v>
      </c>
      <c r="AY255" s="292" t="e">
        <f t="shared" si="182"/>
        <v>#DIV/0!</v>
      </c>
      <c r="AZ255" s="235" t="e">
        <f t="shared" si="218"/>
        <v>#DIV/0!</v>
      </c>
      <c r="BA255" s="269" t="e">
        <f t="shared" si="219"/>
        <v>#DIV/0!</v>
      </c>
      <c r="BB255" s="292" t="e">
        <f t="shared" si="220"/>
        <v>#DIV/0!</v>
      </c>
      <c r="BC255" s="238" t="e">
        <f>IF(SUM($BC$13:BC254)&gt;0,0,IF(BB255&gt;0,B255,0))</f>
        <v>#DIV/0!</v>
      </c>
      <c r="BD255" s="292" t="e">
        <f>IF(BB255+SUM($BD$12:BD254)&gt;=0,0,-BB255-SUM($BD$12:BD254))</f>
        <v>#DIV/0!</v>
      </c>
      <c r="BE255" s="235" t="e">
        <f>BB255+SUM($BD$12:BD255)</f>
        <v>#DIV/0!</v>
      </c>
      <c r="BF255" s="292" t="e">
        <f>-MIN(BE255:$BE$501)-SUM(BF$12:$BF254)</f>
        <v>#DIV/0!</v>
      </c>
      <c r="BG255" s="235" t="e">
        <f t="shared" si="185"/>
        <v>#DIV/0!</v>
      </c>
    </row>
    <row r="256" spans="2:59">
      <c r="B256" s="246">
        <v>243</v>
      </c>
      <c r="C256" s="241">
        <f t="shared" si="184"/>
        <v>50076</v>
      </c>
      <c r="D256" s="229">
        <f t="shared" si="186"/>
        <v>2</v>
      </c>
      <c r="E256" s="230" t="str">
        <f t="shared" si="187"/>
        <v>-</v>
      </c>
      <c r="F256" s="231">
        <f t="shared" si="188"/>
        <v>0</v>
      </c>
      <c r="G256" s="231">
        <f t="shared" si="189"/>
        <v>0</v>
      </c>
      <c r="H256" s="231">
        <f t="shared" si="190"/>
        <v>0</v>
      </c>
      <c r="I256" s="268">
        <f t="shared" si="175"/>
        <v>0</v>
      </c>
      <c r="J256" s="269">
        <f t="shared" si="191"/>
        <v>0</v>
      </c>
      <c r="K256" s="269">
        <f t="shared" si="192"/>
        <v>0</v>
      </c>
      <c r="L256" s="269">
        <f t="shared" si="176"/>
        <v>0</v>
      </c>
      <c r="M256" s="269">
        <f t="shared" si="177"/>
        <v>0</v>
      </c>
      <c r="N256" s="233">
        <f>VLOOKUP(B256,Dados!$L$86:$P$90,5)</f>
        <v>0</v>
      </c>
      <c r="O256" s="270">
        <f t="shared" si="193"/>
        <v>0.99999999999999989</v>
      </c>
      <c r="P256" s="269">
        <f t="shared" si="194"/>
        <v>0</v>
      </c>
      <c r="Q256" s="269" t="e">
        <f t="shared" si="195"/>
        <v>#DIV/0!</v>
      </c>
      <c r="R256" s="269">
        <f t="shared" si="196"/>
        <v>0</v>
      </c>
      <c r="S256" s="269" t="e">
        <f t="shared" si="197"/>
        <v>#DIV/0!</v>
      </c>
      <c r="T256" s="269" t="e">
        <f t="shared" si="183"/>
        <v>#DIV/0!</v>
      </c>
      <c r="U256" s="234">
        <f t="shared" si="198"/>
        <v>0</v>
      </c>
      <c r="V256" s="232" t="e">
        <f t="shared" si="199"/>
        <v>#DIV/0!</v>
      </c>
      <c r="W256" s="269" t="e">
        <f t="shared" si="200"/>
        <v>#DIV/0!</v>
      </c>
      <c r="X256" s="235">
        <f t="shared" si="178"/>
        <v>0</v>
      </c>
      <c r="Y256" s="236">
        <f t="shared" si="201"/>
        <v>5</v>
      </c>
      <c r="Z256" s="236" t="e">
        <f t="shared" si="202"/>
        <v>#DIV/0!</v>
      </c>
      <c r="AA256" s="236">
        <f t="shared" si="203"/>
        <v>3</v>
      </c>
      <c r="AB256" s="236" t="e">
        <f t="shared" si="204"/>
        <v>#DIV/0!</v>
      </c>
      <c r="AC256" s="235">
        <f t="shared" si="205"/>
        <v>0</v>
      </c>
      <c r="AD256" s="235">
        <f t="shared" si="206"/>
        <v>0</v>
      </c>
      <c r="AE256" s="279">
        <f t="shared" si="207"/>
        <v>0</v>
      </c>
      <c r="AF256" s="232">
        <f t="shared" si="208"/>
        <v>0</v>
      </c>
      <c r="AG256" s="235">
        <f t="shared" si="209"/>
        <v>0</v>
      </c>
      <c r="AH256" s="269">
        <f t="shared" si="210"/>
        <v>0</v>
      </c>
      <c r="AI256" s="232">
        <f t="shared" si="211"/>
        <v>0</v>
      </c>
      <c r="AJ256" s="235">
        <f t="shared" si="212"/>
        <v>0</v>
      </c>
      <c r="AK256" s="269">
        <f t="shared" si="213"/>
        <v>0</v>
      </c>
      <c r="AL256" s="269">
        <f t="shared" si="179"/>
        <v>0</v>
      </c>
      <c r="AM256" s="281" t="e">
        <f>IF(B256&gt;=mpfo,pos*vvm*Dados!$E$122*(ntudv-SUM(U257:$U$301))-SUM($AM$13:AM255),0)</f>
        <v>#DIV/0!</v>
      </c>
      <c r="AN256" s="269" t="e">
        <f t="shared" si="214"/>
        <v>#DIV/0!</v>
      </c>
      <c r="AO256" s="232" t="e">
        <f t="shared" si="215"/>
        <v>#DIV/0!</v>
      </c>
      <c r="AP256" s="242" t="e">
        <f t="shared" si="216"/>
        <v>#DIV/0!</v>
      </c>
      <c r="AQ256" s="235" t="e">
        <f>IF(AP256+SUM($AQ$12:AQ255)&gt;=0,0,-AP256-SUM($AQ$12:AQ255))</f>
        <v>#DIV/0!</v>
      </c>
      <c r="AR256" s="235">
        <f>IF(SUM($N$13:N255)&gt;=pmo,IF(SUM(N255:$N$501)&gt;(1-pmo),B256,0),0)</f>
        <v>0</v>
      </c>
      <c r="AS256" s="235" t="e">
        <f>IF((SUM($U$13:$U255)/ntudv)&gt;=pmv,IF((SUM($U255:$U$501)/ntudv)&gt;(1-pmv),B256,0),0)</f>
        <v>#DIV/0!</v>
      </c>
      <c r="AT256" s="237" t="e">
        <f>IF(MAX(mmo,mmv)=mmo,IF(B256=AR256,(SUM(N$13:$N255)-pmo)/((1-VLOOKUP(MAX(mmo,mmv)-1,$B$13:$O$501,14))+(VLOOKUP(MAX(mmo,mmv)-1,$B$13:$O$501,14)-pmo)),N255/((1-VLOOKUP(MAX(mmo,mmv)-1,$B$13:$O$501,14)+(VLOOKUP(MAX(mmo,mmv)-1,$B$13:$O$501,14)-pmo)))),N255/(1-VLOOKUP(MAX(mmo,mmv)-2,$B$13:$O$501,14)))</f>
        <v>#DIV/0!</v>
      </c>
      <c r="AU256" s="101" t="e">
        <f t="shared" si="180"/>
        <v>#DIV/0!</v>
      </c>
      <c r="AV256" s="287" t="e">
        <f t="shared" si="181"/>
        <v>#DIV/0!</v>
      </c>
      <c r="AW256" s="235" t="e">
        <f t="shared" si="217"/>
        <v>#DIV/0!</v>
      </c>
      <c r="AX256" s="281">
        <f>IF(B256&gt;mpfo,0,IF(B256=mpfo,(vld-teo*(1+tcfo-incc)^(MAX(mmo,mmv)-mbfo))*-1,IF(SUM($N$13:N255)&gt;=pmo,IF(($V255/ntudv)&gt;=pmv,IF(B256=MAX(mmo,mmv),-teo*(1+tcfo-incc)^(B256-mbfo),0),0),0)))</f>
        <v>0</v>
      </c>
      <c r="AY256" s="292" t="e">
        <f t="shared" si="182"/>
        <v>#DIV/0!</v>
      </c>
      <c r="AZ256" s="235" t="e">
        <f t="shared" si="218"/>
        <v>#DIV/0!</v>
      </c>
      <c r="BA256" s="269" t="e">
        <f t="shared" si="219"/>
        <v>#DIV/0!</v>
      </c>
      <c r="BB256" s="292" t="e">
        <f t="shared" si="220"/>
        <v>#DIV/0!</v>
      </c>
      <c r="BC256" s="238" t="e">
        <f>IF(SUM($BC$13:BC255)&gt;0,0,IF(BB256&gt;0,B256,0))</f>
        <v>#DIV/0!</v>
      </c>
      <c r="BD256" s="292" t="e">
        <f>IF(BB256+SUM($BD$12:BD255)&gt;=0,0,-BB256-SUM($BD$12:BD255))</f>
        <v>#DIV/0!</v>
      </c>
      <c r="BE256" s="235" t="e">
        <f>BB256+SUM($BD$12:BD256)</f>
        <v>#DIV/0!</v>
      </c>
      <c r="BF256" s="292" t="e">
        <f>-MIN(BE256:$BE$501)-SUM(BF$12:$BF255)</f>
        <v>#DIV/0!</v>
      </c>
      <c r="BG256" s="235" t="e">
        <f t="shared" si="185"/>
        <v>#DIV/0!</v>
      </c>
    </row>
    <row r="257" spans="2:59">
      <c r="B257" s="120">
        <v>244</v>
      </c>
      <c r="C257" s="241">
        <f t="shared" si="184"/>
        <v>50104</v>
      </c>
      <c r="D257" s="229">
        <f t="shared" si="186"/>
        <v>3</v>
      </c>
      <c r="E257" s="230" t="str">
        <f t="shared" si="187"/>
        <v>-</v>
      </c>
      <c r="F257" s="231">
        <f t="shared" si="188"/>
        <v>0</v>
      </c>
      <c r="G257" s="231">
        <f t="shared" si="189"/>
        <v>0</v>
      </c>
      <c r="H257" s="231">
        <f t="shared" si="190"/>
        <v>0</v>
      </c>
      <c r="I257" s="268">
        <f t="shared" si="175"/>
        <v>0</v>
      </c>
      <c r="J257" s="269">
        <f t="shared" si="191"/>
        <v>0</v>
      </c>
      <c r="K257" s="269">
        <f t="shared" si="192"/>
        <v>0</v>
      </c>
      <c r="L257" s="269">
        <f t="shared" si="176"/>
        <v>0</v>
      </c>
      <c r="M257" s="269">
        <f t="shared" si="177"/>
        <v>0</v>
      </c>
      <c r="N257" s="233">
        <f>VLOOKUP(B257,Dados!$L$86:$P$90,5)</f>
        <v>0</v>
      </c>
      <c r="O257" s="270">
        <f t="shared" si="193"/>
        <v>0.99999999999999989</v>
      </c>
      <c r="P257" s="269">
        <f t="shared" si="194"/>
        <v>0</v>
      </c>
      <c r="Q257" s="269" t="e">
        <f t="shared" si="195"/>
        <v>#DIV/0!</v>
      </c>
      <c r="R257" s="269">
        <f t="shared" si="196"/>
        <v>0</v>
      </c>
      <c r="S257" s="269" t="e">
        <f t="shared" si="197"/>
        <v>#DIV/0!</v>
      </c>
      <c r="T257" s="269" t="e">
        <f t="shared" si="183"/>
        <v>#DIV/0!</v>
      </c>
      <c r="U257" s="234">
        <f t="shared" si="198"/>
        <v>0</v>
      </c>
      <c r="V257" s="232" t="e">
        <f t="shared" si="199"/>
        <v>#DIV/0!</v>
      </c>
      <c r="W257" s="269" t="e">
        <f t="shared" si="200"/>
        <v>#DIV/0!</v>
      </c>
      <c r="X257" s="235">
        <f t="shared" si="178"/>
        <v>0</v>
      </c>
      <c r="Y257" s="236">
        <f t="shared" si="201"/>
        <v>5</v>
      </c>
      <c r="Z257" s="236" t="e">
        <f t="shared" si="202"/>
        <v>#DIV/0!</v>
      </c>
      <c r="AA257" s="236">
        <f t="shared" si="203"/>
        <v>3</v>
      </c>
      <c r="AB257" s="236" t="e">
        <f t="shared" si="204"/>
        <v>#DIV/0!</v>
      </c>
      <c r="AC257" s="235">
        <f t="shared" si="205"/>
        <v>0</v>
      </c>
      <c r="AD257" s="235">
        <f t="shared" si="206"/>
        <v>0</v>
      </c>
      <c r="AE257" s="279">
        <f t="shared" si="207"/>
        <v>0</v>
      </c>
      <c r="AF257" s="232">
        <f t="shared" si="208"/>
        <v>0</v>
      </c>
      <c r="AG257" s="235">
        <f t="shared" si="209"/>
        <v>0</v>
      </c>
      <c r="AH257" s="269">
        <f t="shared" si="210"/>
        <v>0</v>
      </c>
      <c r="AI257" s="232">
        <f t="shared" si="211"/>
        <v>0</v>
      </c>
      <c r="AJ257" s="235">
        <f t="shared" si="212"/>
        <v>0</v>
      </c>
      <c r="AK257" s="269">
        <f t="shared" si="213"/>
        <v>0</v>
      </c>
      <c r="AL257" s="269">
        <f t="shared" si="179"/>
        <v>0</v>
      </c>
      <c r="AM257" s="281" t="e">
        <f>IF(B257&gt;=mpfo,pos*vvm*Dados!$E$122*(ntudv-SUM(U258:$U$301))-SUM($AM$13:AM256),0)</f>
        <v>#DIV/0!</v>
      </c>
      <c r="AN257" s="269" t="e">
        <f t="shared" si="214"/>
        <v>#DIV/0!</v>
      </c>
      <c r="AO257" s="232" t="e">
        <f t="shared" si="215"/>
        <v>#DIV/0!</v>
      </c>
      <c r="AP257" s="242" t="e">
        <f t="shared" si="216"/>
        <v>#DIV/0!</v>
      </c>
      <c r="AQ257" s="235" t="e">
        <f>IF(AP257+SUM($AQ$12:AQ256)&gt;=0,0,-AP257-SUM($AQ$12:AQ256))</f>
        <v>#DIV/0!</v>
      </c>
      <c r="AR257" s="235">
        <f>IF(SUM($N$13:N256)&gt;=pmo,IF(SUM(N256:$N$501)&gt;(1-pmo),B257,0),0)</f>
        <v>0</v>
      </c>
      <c r="AS257" s="235" t="e">
        <f>IF((SUM($U$13:$U256)/ntudv)&gt;=pmv,IF((SUM($U256:$U$501)/ntudv)&gt;(1-pmv),B257,0),0)</f>
        <v>#DIV/0!</v>
      </c>
      <c r="AT257" s="237" t="e">
        <f>IF(MAX(mmo,mmv)=mmo,IF(B257=AR257,(SUM(N$13:$N256)-pmo)/((1-VLOOKUP(MAX(mmo,mmv)-1,$B$13:$O$501,14))+(VLOOKUP(MAX(mmo,mmv)-1,$B$13:$O$501,14)-pmo)),N256/((1-VLOOKUP(MAX(mmo,mmv)-1,$B$13:$O$501,14)+(VLOOKUP(MAX(mmo,mmv)-1,$B$13:$O$501,14)-pmo)))),N256/(1-VLOOKUP(MAX(mmo,mmv)-2,$B$13:$O$501,14)))</f>
        <v>#DIV/0!</v>
      </c>
      <c r="AU257" s="101" t="e">
        <f t="shared" si="180"/>
        <v>#DIV/0!</v>
      </c>
      <c r="AV257" s="287" t="e">
        <f t="shared" si="181"/>
        <v>#DIV/0!</v>
      </c>
      <c r="AW257" s="235" t="e">
        <f t="shared" si="217"/>
        <v>#DIV/0!</v>
      </c>
      <c r="AX257" s="281">
        <f>IF(B257&gt;mpfo,0,IF(B257=mpfo,(vld-teo*(1+tcfo-incc)^(MAX(mmo,mmv)-mbfo))*-1,IF(SUM($N$13:N256)&gt;=pmo,IF(($V256/ntudv)&gt;=pmv,IF(B257=MAX(mmo,mmv),-teo*(1+tcfo-incc)^(B257-mbfo),0),0),0)))</f>
        <v>0</v>
      </c>
      <c r="AY257" s="292" t="e">
        <f t="shared" si="182"/>
        <v>#DIV/0!</v>
      </c>
      <c r="AZ257" s="235" t="e">
        <f t="shared" si="218"/>
        <v>#DIV/0!</v>
      </c>
      <c r="BA257" s="269" t="e">
        <f t="shared" si="219"/>
        <v>#DIV/0!</v>
      </c>
      <c r="BB257" s="292" t="e">
        <f t="shared" si="220"/>
        <v>#DIV/0!</v>
      </c>
      <c r="BC257" s="238" t="e">
        <f>IF(SUM($BC$13:BC256)&gt;0,0,IF(BB257&gt;0,B257,0))</f>
        <v>#DIV/0!</v>
      </c>
      <c r="BD257" s="292" t="e">
        <f>IF(BB257+SUM($BD$12:BD256)&gt;=0,0,-BB257-SUM($BD$12:BD256))</f>
        <v>#DIV/0!</v>
      </c>
      <c r="BE257" s="235" t="e">
        <f>BB257+SUM($BD$12:BD257)</f>
        <v>#DIV/0!</v>
      </c>
      <c r="BF257" s="292" t="e">
        <f>-MIN(BE257:$BE$501)-SUM(BF$12:$BF256)</f>
        <v>#DIV/0!</v>
      </c>
      <c r="BG257" s="235" t="e">
        <f t="shared" si="185"/>
        <v>#DIV/0!</v>
      </c>
    </row>
    <row r="258" spans="2:59">
      <c r="B258" s="246">
        <v>245</v>
      </c>
      <c r="C258" s="241">
        <f t="shared" si="184"/>
        <v>50135</v>
      </c>
      <c r="D258" s="229">
        <f t="shared" si="186"/>
        <v>4</v>
      </c>
      <c r="E258" s="230" t="str">
        <f t="shared" si="187"/>
        <v>-</v>
      </c>
      <c r="F258" s="231">
        <f t="shared" si="188"/>
        <v>0</v>
      </c>
      <c r="G258" s="231">
        <f t="shared" si="189"/>
        <v>0</v>
      </c>
      <c r="H258" s="231">
        <f t="shared" si="190"/>
        <v>0</v>
      </c>
      <c r="I258" s="268">
        <f t="shared" si="175"/>
        <v>0</v>
      </c>
      <c r="J258" s="269">
        <f t="shared" si="191"/>
        <v>0</v>
      </c>
      <c r="K258" s="269">
        <f t="shared" si="192"/>
        <v>0</v>
      </c>
      <c r="L258" s="269">
        <f t="shared" si="176"/>
        <v>0</v>
      </c>
      <c r="M258" s="269">
        <f t="shared" si="177"/>
        <v>0</v>
      </c>
      <c r="N258" s="233">
        <f>VLOOKUP(B258,Dados!$L$86:$P$90,5)</f>
        <v>0</v>
      </c>
      <c r="O258" s="270">
        <f t="shared" si="193"/>
        <v>0.99999999999999989</v>
      </c>
      <c r="P258" s="269">
        <f t="shared" si="194"/>
        <v>0</v>
      </c>
      <c r="Q258" s="269" t="e">
        <f t="shared" si="195"/>
        <v>#DIV/0!</v>
      </c>
      <c r="R258" s="269">
        <f t="shared" si="196"/>
        <v>0</v>
      </c>
      <c r="S258" s="269" t="e">
        <f t="shared" si="197"/>
        <v>#DIV/0!</v>
      </c>
      <c r="T258" s="269" t="e">
        <f t="shared" si="183"/>
        <v>#DIV/0!</v>
      </c>
      <c r="U258" s="234">
        <f t="shared" si="198"/>
        <v>0</v>
      </c>
      <c r="V258" s="232" t="e">
        <f t="shared" si="199"/>
        <v>#DIV/0!</v>
      </c>
      <c r="W258" s="269" t="e">
        <f t="shared" si="200"/>
        <v>#DIV/0!</v>
      </c>
      <c r="X258" s="235">
        <f t="shared" si="178"/>
        <v>0</v>
      </c>
      <c r="Y258" s="236">
        <f t="shared" si="201"/>
        <v>5</v>
      </c>
      <c r="Z258" s="236" t="e">
        <f t="shared" si="202"/>
        <v>#DIV/0!</v>
      </c>
      <c r="AA258" s="236">
        <f t="shared" si="203"/>
        <v>3</v>
      </c>
      <c r="AB258" s="236" t="e">
        <f t="shared" si="204"/>
        <v>#DIV/0!</v>
      </c>
      <c r="AC258" s="235">
        <f t="shared" si="205"/>
        <v>0</v>
      </c>
      <c r="AD258" s="235">
        <f t="shared" si="206"/>
        <v>0</v>
      </c>
      <c r="AE258" s="279">
        <f t="shared" si="207"/>
        <v>0</v>
      </c>
      <c r="AF258" s="232">
        <f t="shared" si="208"/>
        <v>0</v>
      </c>
      <c r="AG258" s="235">
        <f t="shared" si="209"/>
        <v>0</v>
      </c>
      <c r="AH258" s="269">
        <f t="shared" si="210"/>
        <v>0</v>
      </c>
      <c r="AI258" s="232">
        <f t="shared" si="211"/>
        <v>0</v>
      </c>
      <c r="AJ258" s="235">
        <f t="shared" si="212"/>
        <v>0</v>
      </c>
      <c r="AK258" s="269">
        <f t="shared" si="213"/>
        <v>0</v>
      </c>
      <c r="AL258" s="269">
        <f t="shared" si="179"/>
        <v>0</v>
      </c>
      <c r="AM258" s="281" t="e">
        <f>IF(B258&gt;=mpfo,pos*vvm*Dados!$E$122*(ntudv-SUM(U259:$U$301))-SUM($AM$13:AM257),0)</f>
        <v>#DIV/0!</v>
      </c>
      <c r="AN258" s="269" t="e">
        <f t="shared" si="214"/>
        <v>#DIV/0!</v>
      </c>
      <c r="AO258" s="232" t="e">
        <f t="shared" si="215"/>
        <v>#DIV/0!</v>
      </c>
      <c r="AP258" s="242" t="e">
        <f t="shared" si="216"/>
        <v>#DIV/0!</v>
      </c>
      <c r="AQ258" s="235" t="e">
        <f>IF(AP258+SUM($AQ$12:AQ257)&gt;=0,0,-AP258-SUM($AQ$12:AQ257))</f>
        <v>#DIV/0!</v>
      </c>
      <c r="AR258" s="235">
        <f>IF(SUM($N$13:N257)&gt;=pmo,IF(SUM(N257:$N$501)&gt;(1-pmo),B258,0),0)</f>
        <v>0</v>
      </c>
      <c r="AS258" s="235" t="e">
        <f>IF((SUM($U$13:$U257)/ntudv)&gt;=pmv,IF((SUM($U257:$U$501)/ntudv)&gt;(1-pmv),B258,0),0)</f>
        <v>#DIV/0!</v>
      </c>
      <c r="AT258" s="237" t="e">
        <f>IF(MAX(mmo,mmv)=mmo,IF(B258=AR258,(SUM(N$13:$N257)-pmo)/((1-VLOOKUP(MAX(mmo,mmv)-1,$B$13:$O$501,14))+(VLOOKUP(MAX(mmo,mmv)-1,$B$13:$O$501,14)-pmo)),N257/((1-VLOOKUP(MAX(mmo,mmv)-1,$B$13:$O$501,14)+(VLOOKUP(MAX(mmo,mmv)-1,$B$13:$O$501,14)-pmo)))),N257/(1-VLOOKUP(MAX(mmo,mmv)-2,$B$13:$O$501,14)))</f>
        <v>#DIV/0!</v>
      </c>
      <c r="AU258" s="101" t="e">
        <f t="shared" si="180"/>
        <v>#DIV/0!</v>
      </c>
      <c r="AV258" s="287" t="e">
        <f t="shared" si="181"/>
        <v>#DIV/0!</v>
      </c>
      <c r="AW258" s="235" t="e">
        <f t="shared" si="217"/>
        <v>#DIV/0!</v>
      </c>
      <c r="AX258" s="281">
        <f>IF(B258&gt;mpfo,0,IF(B258=mpfo,(vld-teo*(1+tcfo-incc)^(MAX(mmo,mmv)-mbfo))*-1,IF(SUM($N$13:N257)&gt;=pmo,IF(($V257/ntudv)&gt;=pmv,IF(B258=MAX(mmo,mmv),-teo*(1+tcfo-incc)^(B258-mbfo),0),0),0)))</f>
        <v>0</v>
      </c>
      <c r="AY258" s="292" t="e">
        <f t="shared" si="182"/>
        <v>#DIV/0!</v>
      </c>
      <c r="AZ258" s="235" t="e">
        <f t="shared" si="218"/>
        <v>#DIV/0!</v>
      </c>
      <c r="BA258" s="269" t="e">
        <f t="shared" si="219"/>
        <v>#DIV/0!</v>
      </c>
      <c r="BB258" s="292" t="e">
        <f t="shared" si="220"/>
        <v>#DIV/0!</v>
      </c>
      <c r="BC258" s="238" t="e">
        <f>IF(SUM($BC$13:BC257)&gt;0,0,IF(BB258&gt;0,B258,0))</f>
        <v>#DIV/0!</v>
      </c>
      <c r="BD258" s="292" t="e">
        <f>IF(BB258+SUM($BD$12:BD257)&gt;=0,0,-BB258-SUM($BD$12:BD257))</f>
        <v>#DIV/0!</v>
      </c>
      <c r="BE258" s="235" t="e">
        <f>BB258+SUM($BD$12:BD258)</f>
        <v>#DIV/0!</v>
      </c>
      <c r="BF258" s="292" t="e">
        <f>-MIN(BE258:$BE$501)-SUM(BF$12:$BF257)</f>
        <v>#DIV/0!</v>
      </c>
      <c r="BG258" s="235" t="e">
        <f t="shared" si="185"/>
        <v>#DIV/0!</v>
      </c>
    </row>
    <row r="259" spans="2:59">
      <c r="B259" s="120">
        <v>246</v>
      </c>
      <c r="C259" s="241">
        <f t="shared" si="184"/>
        <v>50165</v>
      </c>
      <c r="D259" s="229">
        <f t="shared" si="186"/>
        <v>5</v>
      </c>
      <c r="E259" s="230" t="str">
        <f t="shared" si="187"/>
        <v>-</v>
      </c>
      <c r="F259" s="231">
        <f t="shared" si="188"/>
        <v>0</v>
      </c>
      <c r="G259" s="231">
        <f t="shared" si="189"/>
        <v>0</v>
      </c>
      <c r="H259" s="231">
        <f t="shared" si="190"/>
        <v>0</v>
      </c>
      <c r="I259" s="268">
        <f t="shared" si="175"/>
        <v>0</v>
      </c>
      <c r="J259" s="269">
        <f t="shared" si="191"/>
        <v>0</v>
      </c>
      <c r="K259" s="269">
        <f t="shared" si="192"/>
        <v>0</v>
      </c>
      <c r="L259" s="269">
        <f t="shared" si="176"/>
        <v>0</v>
      </c>
      <c r="M259" s="269">
        <f t="shared" si="177"/>
        <v>0</v>
      </c>
      <c r="N259" s="233">
        <f>VLOOKUP(B259,Dados!$L$86:$P$90,5)</f>
        <v>0</v>
      </c>
      <c r="O259" s="270">
        <f t="shared" si="193"/>
        <v>0.99999999999999989</v>
      </c>
      <c r="P259" s="269">
        <f t="shared" si="194"/>
        <v>0</v>
      </c>
      <c r="Q259" s="269" t="e">
        <f t="shared" si="195"/>
        <v>#DIV/0!</v>
      </c>
      <c r="R259" s="269">
        <f t="shared" si="196"/>
        <v>0</v>
      </c>
      <c r="S259" s="269" t="e">
        <f t="shared" si="197"/>
        <v>#DIV/0!</v>
      </c>
      <c r="T259" s="269" t="e">
        <f t="shared" si="183"/>
        <v>#DIV/0!</v>
      </c>
      <c r="U259" s="234">
        <f t="shared" si="198"/>
        <v>0</v>
      </c>
      <c r="V259" s="232" t="e">
        <f t="shared" si="199"/>
        <v>#DIV/0!</v>
      </c>
      <c r="W259" s="269" t="e">
        <f t="shared" si="200"/>
        <v>#DIV/0!</v>
      </c>
      <c r="X259" s="235">
        <f t="shared" si="178"/>
        <v>0</v>
      </c>
      <c r="Y259" s="236">
        <f t="shared" si="201"/>
        <v>5</v>
      </c>
      <c r="Z259" s="236" t="e">
        <f t="shared" si="202"/>
        <v>#DIV/0!</v>
      </c>
      <c r="AA259" s="236">
        <f t="shared" si="203"/>
        <v>3</v>
      </c>
      <c r="AB259" s="236" t="e">
        <f t="shared" si="204"/>
        <v>#DIV/0!</v>
      </c>
      <c r="AC259" s="235">
        <f t="shared" si="205"/>
        <v>0</v>
      </c>
      <c r="AD259" s="235">
        <f t="shared" si="206"/>
        <v>0</v>
      </c>
      <c r="AE259" s="279">
        <f t="shared" si="207"/>
        <v>0</v>
      </c>
      <c r="AF259" s="232">
        <f t="shared" si="208"/>
        <v>0</v>
      </c>
      <c r="AG259" s="235">
        <f t="shared" si="209"/>
        <v>0</v>
      </c>
      <c r="AH259" s="269">
        <f t="shared" si="210"/>
        <v>0</v>
      </c>
      <c r="AI259" s="232">
        <f t="shared" si="211"/>
        <v>0</v>
      </c>
      <c r="AJ259" s="235">
        <f t="shared" si="212"/>
        <v>0</v>
      </c>
      <c r="AK259" s="269">
        <f t="shared" si="213"/>
        <v>0</v>
      </c>
      <c r="AL259" s="269">
        <f t="shared" si="179"/>
        <v>0</v>
      </c>
      <c r="AM259" s="281" t="e">
        <f>IF(B259&gt;=mpfo,pos*vvm*Dados!$E$122*(ntudv-SUM(U260:$U$301))-SUM($AM$13:AM258),0)</f>
        <v>#DIV/0!</v>
      </c>
      <c r="AN259" s="269" t="e">
        <f t="shared" si="214"/>
        <v>#DIV/0!</v>
      </c>
      <c r="AO259" s="232" t="e">
        <f t="shared" si="215"/>
        <v>#DIV/0!</v>
      </c>
      <c r="AP259" s="242" t="e">
        <f t="shared" si="216"/>
        <v>#DIV/0!</v>
      </c>
      <c r="AQ259" s="235" t="e">
        <f>IF(AP259+SUM($AQ$12:AQ258)&gt;=0,0,-AP259-SUM($AQ$12:AQ258))</f>
        <v>#DIV/0!</v>
      </c>
      <c r="AR259" s="235">
        <f>IF(SUM($N$13:N258)&gt;=pmo,IF(SUM(N258:$N$501)&gt;(1-pmo),B259,0),0)</f>
        <v>0</v>
      </c>
      <c r="AS259" s="235" t="e">
        <f>IF((SUM($U$13:$U258)/ntudv)&gt;=pmv,IF((SUM($U258:$U$501)/ntudv)&gt;(1-pmv),B259,0),0)</f>
        <v>#DIV/0!</v>
      </c>
      <c r="AT259" s="237" t="e">
        <f>IF(MAX(mmo,mmv)=mmo,IF(B259=AR259,(SUM(N$13:$N258)-pmo)/((1-VLOOKUP(MAX(mmo,mmv)-1,$B$13:$O$501,14))+(VLOOKUP(MAX(mmo,mmv)-1,$B$13:$O$501,14)-pmo)),N258/((1-VLOOKUP(MAX(mmo,mmv)-1,$B$13:$O$501,14)+(VLOOKUP(MAX(mmo,mmv)-1,$B$13:$O$501,14)-pmo)))),N258/(1-VLOOKUP(MAX(mmo,mmv)-2,$B$13:$O$501,14)))</f>
        <v>#DIV/0!</v>
      </c>
      <c r="AU259" s="101" t="e">
        <f t="shared" si="180"/>
        <v>#DIV/0!</v>
      </c>
      <c r="AV259" s="287" t="e">
        <f t="shared" si="181"/>
        <v>#DIV/0!</v>
      </c>
      <c r="AW259" s="235" t="e">
        <f t="shared" si="217"/>
        <v>#DIV/0!</v>
      </c>
      <c r="AX259" s="281">
        <f>IF(B259&gt;mpfo,0,IF(B259=mpfo,(vld-teo*(1+tcfo-incc)^(MAX(mmo,mmv)-mbfo))*-1,IF(SUM($N$13:N258)&gt;=pmo,IF(($V258/ntudv)&gt;=pmv,IF(B259=MAX(mmo,mmv),-teo*(1+tcfo-incc)^(B259-mbfo),0),0),0)))</f>
        <v>0</v>
      </c>
      <c r="AY259" s="292" t="e">
        <f t="shared" si="182"/>
        <v>#DIV/0!</v>
      </c>
      <c r="AZ259" s="235" t="e">
        <f t="shared" si="218"/>
        <v>#DIV/0!</v>
      </c>
      <c r="BA259" s="269" t="e">
        <f t="shared" si="219"/>
        <v>#DIV/0!</v>
      </c>
      <c r="BB259" s="292" t="e">
        <f t="shared" si="220"/>
        <v>#DIV/0!</v>
      </c>
      <c r="BC259" s="238" t="e">
        <f>IF(SUM($BC$13:BC258)&gt;0,0,IF(BB259&gt;0,B259,0))</f>
        <v>#DIV/0!</v>
      </c>
      <c r="BD259" s="292" t="e">
        <f>IF(BB259+SUM($BD$12:BD258)&gt;=0,0,-BB259-SUM($BD$12:BD258))</f>
        <v>#DIV/0!</v>
      </c>
      <c r="BE259" s="235" t="e">
        <f>BB259+SUM($BD$12:BD259)</f>
        <v>#DIV/0!</v>
      </c>
      <c r="BF259" s="292" t="e">
        <f>-MIN(BE259:$BE$501)-SUM(BF$12:$BF258)</f>
        <v>#DIV/0!</v>
      </c>
      <c r="BG259" s="235" t="e">
        <f t="shared" si="185"/>
        <v>#DIV/0!</v>
      </c>
    </row>
    <row r="260" spans="2:59">
      <c r="B260" s="246">
        <v>247</v>
      </c>
      <c r="C260" s="241">
        <f t="shared" si="184"/>
        <v>50196</v>
      </c>
      <c r="D260" s="229">
        <f t="shared" si="186"/>
        <v>6</v>
      </c>
      <c r="E260" s="230" t="str">
        <f t="shared" si="187"/>
        <v>-</v>
      </c>
      <c r="F260" s="231">
        <f t="shared" si="188"/>
        <v>0</v>
      </c>
      <c r="G260" s="231">
        <f t="shared" si="189"/>
        <v>0</v>
      </c>
      <c r="H260" s="231">
        <f t="shared" si="190"/>
        <v>0</v>
      </c>
      <c r="I260" s="268">
        <f t="shared" si="175"/>
        <v>0</v>
      </c>
      <c r="J260" s="269">
        <f t="shared" si="191"/>
        <v>0</v>
      </c>
      <c r="K260" s="269">
        <f t="shared" si="192"/>
        <v>0</v>
      </c>
      <c r="L260" s="269">
        <f t="shared" si="176"/>
        <v>0</v>
      </c>
      <c r="M260" s="269">
        <f t="shared" si="177"/>
        <v>0</v>
      </c>
      <c r="N260" s="233">
        <f>VLOOKUP(B260,Dados!$L$86:$P$90,5)</f>
        <v>0</v>
      </c>
      <c r="O260" s="270">
        <f t="shared" si="193"/>
        <v>0.99999999999999989</v>
      </c>
      <c r="P260" s="269">
        <f t="shared" si="194"/>
        <v>0</v>
      </c>
      <c r="Q260" s="269" t="e">
        <f t="shared" si="195"/>
        <v>#DIV/0!</v>
      </c>
      <c r="R260" s="269">
        <f t="shared" si="196"/>
        <v>0</v>
      </c>
      <c r="S260" s="269" t="e">
        <f t="shared" si="197"/>
        <v>#DIV/0!</v>
      </c>
      <c r="T260" s="269" t="e">
        <f t="shared" si="183"/>
        <v>#DIV/0!</v>
      </c>
      <c r="U260" s="234">
        <f t="shared" si="198"/>
        <v>0</v>
      </c>
      <c r="V260" s="232" t="e">
        <f t="shared" si="199"/>
        <v>#DIV/0!</v>
      </c>
      <c r="W260" s="269" t="e">
        <f t="shared" si="200"/>
        <v>#DIV/0!</v>
      </c>
      <c r="X260" s="235">
        <f t="shared" si="178"/>
        <v>0</v>
      </c>
      <c r="Y260" s="236">
        <f t="shared" si="201"/>
        <v>5</v>
      </c>
      <c r="Z260" s="236" t="e">
        <f t="shared" si="202"/>
        <v>#DIV/0!</v>
      </c>
      <c r="AA260" s="236">
        <f t="shared" si="203"/>
        <v>3</v>
      </c>
      <c r="AB260" s="236" t="e">
        <f t="shared" si="204"/>
        <v>#DIV/0!</v>
      </c>
      <c r="AC260" s="235">
        <f t="shared" si="205"/>
        <v>0</v>
      </c>
      <c r="AD260" s="235">
        <f t="shared" si="206"/>
        <v>0</v>
      </c>
      <c r="AE260" s="279">
        <f t="shared" si="207"/>
        <v>0</v>
      </c>
      <c r="AF260" s="232">
        <f t="shared" si="208"/>
        <v>1</v>
      </c>
      <c r="AG260" s="235">
        <f t="shared" si="209"/>
        <v>0</v>
      </c>
      <c r="AH260" s="269">
        <f t="shared" si="210"/>
        <v>0</v>
      </c>
      <c r="AI260" s="232">
        <f t="shared" si="211"/>
        <v>0</v>
      </c>
      <c r="AJ260" s="235">
        <f t="shared" si="212"/>
        <v>0</v>
      </c>
      <c r="AK260" s="269">
        <f t="shared" si="213"/>
        <v>0</v>
      </c>
      <c r="AL260" s="269">
        <f t="shared" si="179"/>
        <v>0</v>
      </c>
      <c r="AM260" s="281" t="e">
        <f>IF(B260&gt;=mpfo,pos*vvm*Dados!$E$122*(ntudv-SUM(U261:$U$301))-SUM($AM$13:AM259),0)</f>
        <v>#DIV/0!</v>
      </c>
      <c r="AN260" s="269" t="e">
        <f t="shared" si="214"/>
        <v>#DIV/0!</v>
      </c>
      <c r="AO260" s="232" t="e">
        <f t="shared" si="215"/>
        <v>#DIV/0!</v>
      </c>
      <c r="AP260" s="242" t="e">
        <f t="shared" si="216"/>
        <v>#DIV/0!</v>
      </c>
      <c r="AQ260" s="235" t="e">
        <f>IF(AP260+SUM($AQ$12:AQ259)&gt;=0,0,-AP260-SUM($AQ$12:AQ259))</f>
        <v>#DIV/0!</v>
      </c>
      <c r="AR260" s="235">
        <f>IF(SUM($N$13:N259)&gt;=pmo,IF(SUM(N259:$N$501)&gt;(1-pmo),B260,0),0)</f>
        <v>0</v>
      </c>
      <c r="AS260" s="235" t="e">
        <f>IF((SUM($U$13:$U259)/ntudv)&gt;=pmv,IF((SUM($U259:$U$501)/ntudv)&gt;(1-pmv),B260,0),0)</f>
        <v>#DIV/0!</v>
      </c>
      <c r="AT260" s="237" t="e">
        <f>IF(MAX(mmo,mmv)=mmo,IF(B260=AR260,(SUM(N$13:$N259)-pmo)/((1-VLOOKUP(MAX(mmo,mmv)-1,$B$13:$O$501,14))+(VLOOKUP(MAX(mmo,mmv)-1,$B$13:$O$501,14)-pmo)),N259/((1-VLOOKUP(MAX(mmo,mmv)-1,$B$13:$O$501,14)+(VLOOKUP(MAX(mmo,mmv)-1,$B$13:$O$501,14)-pmo)))),N259/(1-VLOOKUP(MAX(mmo,mmv)-2,$B$13:$O$501,14)))</f>
        <v>#DIV/0!</v>
      </c>
      <c r="AU260" s="101" t="e">
        <f t="shared" si="180"/>
        <v>#DIV/0!</v>
      </c>
      <c r="AV260" s="287" t="e">
        <f t="shared" si="181"/>
        <v>#DIV/0!</v>
      </c>
      <c r="AW260" s="235" t="e">
        <f t="shared" si="217"/>
        <v>#DIV/0!</v>
      </c>
      <c r="AX260" s="281">
        <f>IF(B260&gt;mpfo,0,IF(B260=mpfo,(vld-teo*(1+tcfo-incc)^(MAX(mmo,mmv)-mbfo))*-1,IF(SUM($N$13:N259)&gt;=pmo,IF(($V259/ntudv)&gt;=pmv,IF(B260=MAX(mmo,mmv),-teo*(1+tcfo-incc)^(B260-mbfo),0),0),0)))</f>
        <v>0</v>
      </c>
      <c r="AY260" s="292" t="e">
        <f t="shared" si="182"/>
        <v>#DIV/0!</v>
      </c>
      <c r="AZ260" s="235" t="e">
        <f t="shared" si="218"/>
        <v>#DIV/0!</v>
      </c>
      <c r="BA260" s="269" t="e">
        <f t="shared" si="219"/>
        <v>#DIV/0!</v>
      </c>
      <c r="BB260" s="292" t="e">
        <f t="shared" si="220"/>
        <v>#DIV/0!</v>
      </c>
      <c r="BC260" s="238" t="e">
        <f>IF(SUM($BC$13:BC259)&gt;0,0,IF(BB260&gt;0,B260,0))</f>
        <v>#DIV/0!</v>
      </c>
      <c r="BD260" s="292" t="e">
        <f>IF(BB260+SUM($BD$12:BD259)&gt;=0,0,-BB260-SUM($BD$12:BD259))</f>
        <v>#DIV/0!</v>
      </c>
      <c r="BE260" s="235" t="e">
        <f>BB260+SUM($BD$12:BD260)</f>
        <v>#DIV/0!</v>
      </c>
      <c r="BF260" s="292" t="e">
        <f>-MIN(BE260:$BE$501)-SUM(BF$12:$BF259)</f>
        <v>#DIV/0!</v>
      </c>
      <c r="BG260" s="235" t="e">
        <f t="shared" si="185"/>
        <v>#DIV/0!</v>
      </c>
    </row>
    <row r="261" spans="2:59">
      <c r="B261" s="120">
        <v>248</v>
      </c>
      <c r="C261" s="241">
        <f t="shared" si="184"/>
        <v>50226</v>
      </c>
      <c r="D261" s="229">
        <f t="shared" si="186"/>
        <v>7</v>
      </c>
      <c r="E261" s="230" t="str">
        <f t="shared" si="187"/>
        <v>-</v>
      </c>
      <c r="F261" s="231">
        <f t="shared" si="188"/>
        <v>0</v>
      </c>
      <c r="G261" s="231">
        <f t="shared" si="189"/>
        <v>0</v>
      </c>
      <c r="H261" s="231">
        <f t="shared" si="190"/>
        <v>0</v>
      </c>
      <c r="I261" s="268">
        <f t="shared" si="175"/>
        <v>0</v>
      </c>
      <c r="J261" s="269">
        <f t="shared" si="191"/>
        <v>0</v>
      </c>
      <c r="K261" s="269">
        <f t="shared" si="192"/>
        <v>0</v>
      </c>
      <c r="L261" s="269">
        <f t="shared" si="176"/>
        <v>0</v>
      </c>
      <c r="M261" s="269">
        <f t="shared" si="177"/>
        <v>0</v>
      </c>
      <c r="N261" s="233">
        <f>VLOOKUP(B261,Dados!$L$86:$P$90,5)</f>
        <v>0</v>
      </c>
      <c r="O261" s="270">
        <f t="shared" si="193"/>
        <v>0.99999999999999989</v>
      </c>
      <c r="P261" s="269">
        <f t="shared" si="194"/>
        <v>0</v>
      </c>
      <c r="Q261" s="269" t="e">
        <f t="shared" si="195"/>
        <v>#DIV/0!</v>
      </c>
      <c r="R261" s="269">
        <f t="shared" si="196"/>
        <v>0</v>
      </c>
      <c r="S261" s="269" t="e">
        <f t="shared" si="197"/>
        <v>#DIV/0!</v>
      </c>
      <c r="T261" s="269" t="e">
        <f t="shared" si="183"/>
        <v>#DIV/0!</v>
      </c>
      <c r="U261" s="234">
        <f t="shared" si="198"/>
        <v>0</v>
      </c>
      <c r="V261" s="232" t="e">
        <f t="shared" si="199"/>
        <v>#DIV/0!</v>
      </c>
      <c r="W261" s="269" t="e">
        <f t="shared" si="200"/>
        <v>#DIV/0!</v>
      </c>
      <c r="X261" s="235">
        <f t="shared" si="178"/>
        <v>0</v>
      </c>
      <c r="Y261" s="236">
        <f t="shared" si="201"/>
        <v>5</v>
      </c>
      <c r="Z261" s="236" t="e">
        <f t="shared" si="202"/>
        <v>#DIV/0!</v>
      </c>
      <c r="AA261" s="236">
        <f t="shared" si="203"/>
        <v>3</v>
      </c>
      <c r="AB261" s="236" t="e">
        <f t="shared" si="204"/>
        <v>#DIV/0!</v>
      </c>
      <c r="AC261" s="235">
        <f t="shared" si="205"/>
        <v>0</v>
      </c>
      <c r="AD261" s="235">
        <f t="shared" si="206"/>
        <v>0</v>
      </c>
      <c r="AE261" s="279">
        <f t="shared" si="207"/>
        <v>0</v>
      </c>
      <c r="AF261" s="232">
        <f t="shared" si="208"/>
        <v>0</v>
      </c>
      <c r="AG261" s="235">
        <f t="shared" si="209"/>
        <v>0</v>
      </c>
      <c r="AH261" s="269">
        <f t="shared" si="210"/>
        <v>0</v>
      </c>
      <c r="AI261" s="232">
        <f t="shared" si="211"/>
        <v>0</v>
      </c>
      <c r="AJ261" s="235">
        <f t="shared" si="212"/>
        <v>0</v>
      </c>
      <c r="AK261" s="269">
        <f t="shared" si="213"/>
        <v>0</v>
      </c>
      <c r="AL261" s="269">
        <f t="shared" si="179"/>
        <v>0</v>
      </c>
      <c r="AM261" s="281" t="e">
        <f>IF(B261&gt;=mpfo,pos*vvm*Dados!$E$122*(ntudv-SUM(U262:$U$301))-SUM($AM$13:AM260),0)</f>
        <v>#DIV/0!</v>
      </c>
      <c r="AN261" s="269" t="e">
        <f t="shared" si="214"/>
        <v>#DIV/0!</v>
      </c>
      <c r="AO261" s="232" t="e">
        <f t="shared" si="215"/>
        <v>#DIV/0!</v>
      </c>
      <c r="AP261" s="242" t="e">
        <f t="shared" si="216"/>
        <v>#DIV/0!</v>
      </c>
      <c r="AQ261" s="235" t="e">
        <f>IF(AP261+SUM($AQ$12:AQ260)&gt;=0,0,-AP261-SUM($AQ$12:AQ260))</f>
        <v>#DIV/0!</v>
      </c>
      <c r="AR261" s="235">
        <f>IF(SUM($N$13:N260)&gt;=pmo,IF(SUM(N260:$N$501)&gt;(1-pmo),B261,0),0)</f>
        <v>0</v>
      </c>
      <c r="AS261" s="235" t="e">
        <f>IF((SUM($U$13:$U260)/ntudv)&gt;=pmv,IF((SUM($U260:$U$501)/ntudv)&gt;(1-pmv),B261,0),0)</f>
        <v>#DIV/0!</v>
      </c>
      <c r="AT261" s="237" t="e">
        <f>IF(MAX(mmo,mmv)=mmo,IF(B261=AR261,(SUM(N$13:$N260)-pmo)/((1-VLOOKUP(MAX(mmo,mmv)-1,$B$13:$O$501,14))+(VLOOKUP(MAX(mmo,mmv)-1,$B$13:$O$501,14)-pmo)),N260/((1-VLOOKUP(MAX(mmo,mmv)-1,$B$13:$O$501,14)+(VLOOKUP(MAX(mmo,mmv)-1,$B$13:$O$501,14)-pmo)))),N260/(1-VLOOKUP(MAX(mmo,mmv)-2,$B$13:$O$501,14)))</f>
        <v>#DIV/0!</v>
      </c>
      <c r="AU261" s="101" t="e">
        <f t="shared" si="180"/>
        <v>#DIV/0!</v>
      </c>
      <c r="AV261" s="287" t="e">
        <f t="shared" si="181"/>
        <v>#DIV/0!</v>
      </c>
      <c r="AW261" s="235" t="e">
        <f t="shared" si="217"/>
        <v>#DIV/0!</v>
      </c>
      <c r="AX261" s="281">
        <f>IF(B261&gt;mpfo,0,IF(B261=mpfo,(vld-teo*(1+tcfo-incc)^(MAX(mmo,mmv)-mbfo))*-1,IF(SUM($N$13:N260)&gt;=pmo,IF(($V260/ntudv)&gt;=pmv,IF(B261=MAX(mmo,mmv),-teo*(1+tcfo-incc)^(B261-mbfo),0),0),0)))</f>
        <v>0</v>
      </c>
      <c r="AY261" s="292" t="e">
        <f t="shared" si="182"/>
        <v>#DIV/0!</v>
      </c>
      <c r="AZ261" s="235" t="e">
        <f t="shared" si="218"/>
        <v>#DIV/0!</v>
      </c>
      <c r="BA261" s="269" t="e">
        <f t="shared" si="219"/>
        <v>#DIV/0!</v>
      </c>
      <c r="BB261" s="292" t="e">
        <f t="shared" si="220"/>
        <v>#DIV/0!</v>
      </c>
      <c r="BC261" s="238" t="e">
        <f>IF(SUM($BC$13:BC260)&gt;0,0,IF(BB261&gt;0,B261,0))</f>
        <v>#DIV/0!</v>
      </c>
      <c r="BD261" s="292" t="e">
        <f>IF(BB261+SUM($BD$12:BD260)&gt;=0,0,-BB261-SUM($BD$12:BD260))</f>
        <v>#DIV/0!</v>
      </c>
      <c r="BE261" s="235" t="e">
        <f>BB261+SUM($BD$12:BD261)</f>
        <v>#DIV/0!</v>
      </c>
      <c r="BF261" s="292" t="e">
        <f>-MIN(BE261:$BE$501)-SUM(BF$12:$BF260)</f>
        <v>#DIV/0!</v>
      </c>
      <c r="BG261" s="235" t="e">
        <f t="shared" si="185"/>
        <v>#DIV/0!</v>
      </c>
    </row>
    <row r="262" spans="2:59">
      <c r="B262" s="246">
        <v>249</v>
      </c>
      <c r="C262" s="241">
        <f t="shared" si="184"/>
        <v>50257</v>
      </c>
      <c r="D262" s="229">
        <f t="shared" si="186"/>
        <v>8</v>
      </c>
      <c r="E262" s="230" t="str">
        <f t="shared" si="187"/>
        <v>-</v>
      </c>
      <c r="F262" s="231">
        <f t="shared" si="188"/>
        <v>0</v>
      </c>
      <c r="G262" s="231">
        <f t="shared" si="189"/>
        <v>0</v>
      </c>
      <c r="H262" s="231">
        <f t="shared" si="190"/>
        <v>0</v>
      </c>
      <c r="I262" s="268">
        <f t="shared" si="175"/>
        <v>0</v>
      </c>
      <c r="J262" s="269">
        <f t="shared" si="191"/>
        <v>0</v>
      </c>
      <c r="K262" s="269">
        <f t="shared" si="192"/>
        <v>0</v>
      </c>
      <c r="L262" s="269">
        <f t="shared" si="176"/>
        <v>0</v>
      </c>
      <c r="M262" s="269">
        <f t="shared" si="177"/>
        <v>0</v>
      </c>
      <c r="N262" s="233">
        <f>VLOOKUP(B262,Dados!$L$86:$P$90,5)</f>
        <v>0</v>
      </c>
      <c r="O262" s="270">
        <f t="shared" si="193"/>
        <v>0.99999999999999989</v>
      </c>
      <c r="P262" s="269">
        <f t="shared" si="194"/>
        <v>0</v>
      </c>
      <c r="Q262" s="269" t="e">
        <f t="shared" si="195"/>
        <v>#DIV/0!</v>
      </c>
      <c r="R262" s="269">
        <f t="shared" si="196"/>
        <v>0</v>
      </c>
      <c r="S262" s="269" t="e">
        <f t="shared" si="197"/>
        <v>#DIV/0!</v>
      </c>
      <c r="T262" s="269" t="e">
        <f t="shared" si="183"/>
        <v>#DIV/0!</v>
      </c>
      <c r="U262" s="234">
        <f t="shared" si="198"/>
        <v>0</v>
      </c>
      <c r="V262" s="232" t="e">
        <f t="shared" si="199"/>
        <v>#DIV/0!</v>
      </c>
      <c r="W262" s="269" t="e">
        <f t="shared" si="200"/>
        <v>#DIV/0!</v>
      </c>
      <c r="X262" s="235">
        <f t="shared" si="178"/>
        <v>0</v>
      </c>
      <c r="Y262" s="236">
        <f t="shared" si="201"/>
        <v>5</v>
      </c>
      <c r="Z262" s="236" t="e">
        <f t="shared" si="202"/>
        <v>#DIV/0!</v>
      </c>
      <c r="AA262" s="236">
        <f t="shared" si="203"/>
        <v>3</v>
      </c>
      <c r="AB262" s="236" t="e">
        <f t="shared" si="204"/>
        <v>#DIV/0!</v>
      </c>
      <c r="AC262" s="235">
        <f t="shared" si="205"/>
        <v>0</v>
      </c>
      <c r="AD262" s="235">
        <f t="shared" si="206"/>
        <v>0</v>
      </c>
      <c r="AE262" s="279">
        <f t="shared" si="207"/>
        <v>0</v>
      </c>
      <c r="AF262" s="232">
        <f t="shared" si="208"/>
        <v>0</v>
      </c>
      <c r="AG262" s="235">
        <f t="shared" si="209"/>
        <v>0</v>
      </c>
      <c r="AH262" s="269">
        <f t="shared" si="210"/>
        <v>0</v>
      </c>
      <c r="AI262" s="232">
        <f t="shared" si="211"/>
        <v>0</v>
      </c>
      <c r="AJ262" s="235">
        <f t="shared" si="212"/>
        <v>0</v>
      </c>
      <c r="AK262" s="269">
        <f t="shared" si="213"/>
        <v>0</v>
      </c>
      <c r="AL262" s="269">
        <f t="shared" si="179"/>
        <v>0</v>
      </c>
      <c r="AM262" s="281" t="e">
        <f>IF(B262&gt;=mpfo,pos*vvm*Dados!$E$122*(ntudv-SUM(U263:$U$301))-SUM($AM$13:AM261),0)</f>
        <v>#DIV/0!</v>
      </c>
      <c r="AN262" s="269" t="e">
        <f t="shared" si="214"/>
        <v>#DIV/0!</v>
      </c>
      <c r="AO262" s="232" t="e">
        <f t="shared" si="215"/>
        <v>#DIV/0!</v>
      </c>
      <c r="AP262" s="242" t="e">
        <f t="shared" si="216"/>
        <v>#DIV/0!</v>
      </c>
      <c r="AQ262" s="235" t="e">
        <f>IF(AP262+SUM($AQ$12:AQ261)&gt;=0,0,-AP262-SUM($AQ$12:AQ261))</f>
        <v>#DIV/0!</v>
      </c>
      <c r="AR262" s="235">
        <f>IF(SUM($N$13:N261)&gt;=pmo,IF(SUM(N261:$N$501)&gt;(1-pmo),B262,0),0)</f>
        <v>0</v>
      </c>
      <c r="AS262" s="235" t="e">
        <f>IF((SUM($U$13:$U261)/ntudv)&gt;=pmv,IF((SUM($U261:$U$501)/ntudv)&gt;(1-pmv),B262,0),0)</f>
        <v>#DIV/0!</v>
      </c>
      <c r="AT262" s="237" t="e">
        <f>IF(MAX(mmo,mmv)=mmo,IF(B262=AR262,(SUM(N$13:$N261)-pmo)/((1-VLOOKUP(MAX(mmo,mmv)-1,$B$13:$O$501,14))+(VLOOKUP(MAX(mmo,mmv)-1,$B$13:$O$501,14)-pmo)),N261/((1-VLOOKUP(MAX(mmo,mmv)-1,$B$13:$O$501,14)+(VLOOKUP(MAX(mmo,mmv)-1,$B$13:$O$501,14)-pmo)))),N261/(1-VLOOKUP(MAX(mmo,mmv)-2,$B$13:$O$501,14)))</f>
        <v>#DIV/0!</v>
      </c>
      <c r="AU262" s="101" t="e">
        <f t="shared" si="180"/>
        <v>#DIV/0!</v>
      </c>
      <c r="AV262" s="287" t="e">
        <f t="shared" si="181"/>
        <v>#DIV/0!</v>
      </c>
      <c r="AW262" s="235" t="e">
        <f t="shared" si="217"/>
        <v>#DIV/0!</v>
      </c>
      <c r="AX262" s="281">
        <f>IF(B262&gt;mpfo,0,IF(B262=mpfo,(vld-teo*(1+tcfo-incc)^(MAX(mmo,mmv)-mbfo))*-1,IF(SUM($N$13:N261)&gt;=pmo,IF(($V261/ntudv)&gt;=pmv,IF(B262=MAX(mmo,mmv),-teo*(1+tcfo-incc)^(B262-mbfo),0),0),0)))</f>
        <v>0</v>
      </c>
      <c r="AY262" s="292" t="e">
        <f t="shared" si="182"/>
        <v>#DIV/0!</v>
      </c>
      <c r="AZ262" s="235" t="e">
        <f t="shared" si="218"/>
        <v>#DIV/0!</v>
      </c>
      <c r="BA262" s="269" t="e">
        <f t="shared" si="219"/>
        <v>#DIV/0!</v>
      </c>
      <c r="BB262" s="292" t="e">
        <f t="shared" si="220"/>
        <v>#DIV/0!</v>
      </c>
      <c r="BC262" s="238" t="e">
        <f>IF(SUM($BC$13:BC261)&gt;0,0,IF(BB262&gt;0,B262,0))</f>
        <v>#DIV/0!</v>
      </c>
      <c r="BD262" s="292" t="e">
        <f>IF(BB262+SUM($BD$12:BD261)&gt;=0,0,-BB262-SUM($BD$12:BD261))</f>
        <v>#DIV/0!</v>
      </c>
      <c r="BE262" s="235" t="e">
        <f>BB262+SUM($BD$12:BD262)</f>
        <v>#DIV/0!</v>
      </c>
      <c r="BF262" s="292" t="e">
        <f>-MIN(BE262:$BE$501)-SUM(BF$12:$BF261)</f>
        <v>#DIV/0!</v>
      </c>
      <c r="BG262" s="235" t="e">
        <f t="shared" si="185"/>
        <v>#DIV/0!</v>
      </c>
    </row>
    <row r="263" spans="2:59">
      <c r="B263" s="120">
        <v>250</v>
      </c>
      <c r="C263" s="241">
        <f t="shared" si="184"/>
        <v>50288</v>
      </c>
      <c r="D263" s="229">
        <f t="shared" si="186"/>
        <v>9</v>
      </c>
      <c r="E263" s="230" t="str">
        <f t="shared" si="187"/>
        <v>-</v>
      </c>
      <c r="F263" s="231">
        <f t="shared" si="188"/>
        <v>0</v>
      </c>
      <c r="G263" s="231">
        <f t="shared" si="189"/>
        <v>0</v>
      </c>
      <c r="H263" s="231">
        <f t="shared" si="190"/>
        <v>0</v>
      </c>
      <c r="I263" s="268">
        <f t="shared" si="175"/>
        <v>0</v>
      </c>
      <c r="J263" s="269">
        <f t="shared" si="191"/>
        <v>0</v>
      </c>
      <c r="K263" s="269">
        <f t="shared" si="192"/>
        <v>0</v>
      </c>
      <c r="L263" s="269">
        <f t="shared" si="176"/>
        <v>0</v>
      </c>
      <c r="M263" s="269">
        <f t="shared" si="177"/>
        <v>0</v>
      </c>
      <c r="N263" s="233">
        <f>VLOOKUP(B263,Dados!$L$86:$P$90,5)</f>
        <v>0</v>
      </c>
      <c r="O263" s="270">
        <f t="shared" si="193"/>
        <v>0.99999999999999989</v>
      </c>
      <c r="P263" s="269">
        <f t="shared" si="194"/>
        <v>0</v>
      </c>
      <c r="Q263" s="269" t="e">
        <f t="shared" si="195"/>
        <v>#DIV/0!</v>
      </c>
      <c r="R263" s="269">
        <f t="shared" si="196"/>
        <v>0</v>
      </c>
      <c r="S263" s="269" t="e">
        <f t="shared" si="197"/>
        <v>#DIV/0!</v>
      </c>
      <c r="T263" s="269" t="e">
        <f t="shared" si="183"/>
        <v>#DIV/0!</v>
      </c>
      <c r="U263" s="234">
        <f t="shared" si="198"/>
        <v>0</v>
      </c>
      <c r="V263" s="232" t="e">
        <f t="shared" si="199"/>
        <v>#DIV/0!</v>
      </c>
      <c r="W263" s="269" t="e">
        <f t="shared" si="200"/>
        <v>#DIV/0!</v>
      </c>
      <c r="X263" s="235">
        <f t="shared" si="178"/>
        <v>0</v>
      </c>
      <c r="Y263" s="236">
        <f t="shared" si="201"/>
        <v>5</v>
      </c>
      <c r="Z263" s="236" t="e">
        <f t="shared" si="202"/>
        <v>#DIV/0!</v>
      </c>
      <c r="AA263" s="236">
        <f t="shared" si="203"/>
        <v>3</v>
      </c>
      <c r="AB263" s="236" t="e">
        <f t="shared" si="204"/>
        <v>#DIV/0!</v>
      </c>
      <c r="AC263" s="235">
        <f t="shared" si="205"/>
        <v>0</v>
      </c>
      <c r="AD263" s="235">
        <f t="shared" si="206"/>
        <v>0</v>
      </c>
      <c r="AE263" s="279">
        <f t="shared" si="207"/>
        <v>0</v>
      </c>
      <c r="AF263" s="232">
        <f t="shared" si="208"/>
        <v>0</v>
      </c>
      <c r="AG263" s="235">
        <f t="shared" si="209"/>
        <v>0</v>
      </c>
      <c r="AH263" s="269">
        <f t="shared" si="210"/>
        <v>0</v>
      </c>
      <c r="AI263" s="232">
        <f t="shared" si="211"/>
        <v>0</v>
      </c>
      <c r="AJ263" s="235">
        <f t="shared" si="212"/>
        <v>0</v>
      </c>
      <c r="AK263" s="269">
        <f t="shared" si="213"/>
        <v>0</v>
      </c>
      <c r="AL263" s="269">
        <f t="shared" si="179"/>
        <v>0</v>
      </c>
      <c r="AM263" s="281" t="e">
        <f>IF(B263&gt;=mpfo,pos*vvm*Dados!$E$122*(ntudv-SUM(U264:$U$301))-SUM($AM$13:AM262),0)</f>
        <v>#DIV/0!</v>
      </c>
      <c r="AN263" s="269" t="e">
        <f t="shared" si="214"/>
        <v>#DIV/0!</v>
      </c>
      <c r="AO263" s="232" t="e">
        <f t="shared" si="215"/>
        <v>#DIV/0!</v>
      </c>
      <c r="AP263" s="242" t="e">
        <f t="shared" si="216"/>
        <v>#DIV/0!</v>
      </c>
      <c r="AQ263" s="235" t="e">
        <f>IF(AP263+SUM($AQ$12:AQ262)&gt;=0,0,-AP263-SUM($AQ$12:AQ262))</f>
        <v>#DIV/0!</v>
      </c>
      <c r="AR263" s="235">
        <f>IF(SUM($N$13:N262)&gt;=pmo,IF(SUM(N262:$N$501)&gt;(1-pmo),B263,0),0)</f>
        <v>0</v>
      </c>
      <c r="AS263" s="235" t="e">
        <f>IF((SUM($U$13:$U262)/ntudv)&gt;=pmv,IF((SUM($U262:$U$501)/ntudv)&gt;(1-pmv),B263,0),0)</f>
        <v>#DIV/0!</v>
      </c>
      <c r="AT263" s="237" t="e">
        <f>IF(MAX(mmo,mmv)=mmo,IF(B263=AR263,(SUM(N$13:$N262)-pmo)/((1-VLOOKUP(MAX(mmo,mmv)-1,$B$13:$O$501,14))+(VLOOKUP(MAX(mmo,mmv)-1,$B$13:$O$501,14)-pmo)),N262/((1-VLOOKUP(MAX(mmo,mmv)-1,$B$13:$O$501,14)+(VLOOKUP(MAX(mmo,mmv)-1,$B$13:$O$501,14)-pmo)))),N262/(1-VLOOKUP(MAX(mmo,mmv)-2,$B$13:$O$501,14)))</f>
        <v>#DIV/0!</v>
      </c>
      <c r="AU263" s="101" t="e">
        <f t="shared" si="180"/>
        <v>#DIV/0!</v>
      </c>
      <c r="AV263" s="287" t="e">
        <f t="shared" si="181"/>
        <v>#DIV/0!</v>
      </c>
      <c r="AW263" s="235" t="e">
        <f t="shared" si="217"/>
        <v>#DIV/0!</v>
      </c>
      <c r="AX263" s="281">
        <f>IF(B263&gt;mpfo,0,IF(B263=mpfo,(vld-teo*(1+tcfo-incc)^(MAX(mmo,mmv)-mbfo))*-1,IF(SUM($N$13:N262)&gt;=pmo,IF(($V262/ntudv)&gt;=pmv,IF(B263=MAX(mmo,mmv),-teo*(1+tcfo-incc)^(B263-mbfo),0),0),0)))</f>
        <v>0</v>
      </c>
      <c r="AY263" s="292" t="e">
        <f t="shared" si="182"/>
        <v>#DIV/0!</v>
      </c>
      <c r="AZ263" s="235" t="e">
        <f t="shared" si="218"/>
        <v>#DIV/0!</v>
      </c>
      <c r="BA263" s="269" t="e">
        <f t="shared" si="219"/>
        <v>#DIV/0!</v>
      </c>
      <c r="BB263" s="292" t="e">
        <f t="shared" si="220"/>
        <v>#DIV/0!</v>
      </c>
      <c r="BC263" s="238" t="e">
        <f>IF(SUM($BC$13:BC262)&gt;0,0,IF(BB263&gt;0,B263,0))</f>
        <v>#DIV/0!</v>
      </c>
      <c r="BD263" s="292" t="e">
        <f>IF(BB263+SUM($BD$12:BD262)&gt;=0,0,-BB263-SUM($BD$12:BD262))</f>
        <v>#DIV/0!</v>
      </c>
      <c r="BE263" s="235" t="e">
        <f>BB263+SUM($BD$12:BD263)</f>
        <v>#DIV/0!</v>
      </c>
      <c r="BF263" s="292" t="e">
        <f>-MIN(BE263:$BE$501)-SUM(BF$12:$BF262)</f>
        <v>#DIV/0!</v>
      </c>
      <c r="BG263" s="235" t="e">
        <f t="shared" si="185"/>
        <v>#DIV/0!</v>
      </c>
    </row>
    <row r="264" spans="2:59">
      <c r="B264" s="246">
        <v>251</v>
      </c>
      <c r="C264" s="241">
        <f t="shared" si="184"/>
        <v>50318</v>
      </c>
      <c r="D264" s="229">
        <f t="shared" si="186"/>
        <v>10</v>
      </c>
      <c r="E264" s="230" t="str">
        <f t="shared" si="187"/>
        <v>-</v>
      </c>
      <c r="F264" s="231">
        <f t="shared" si="188"/>
        <v>0</v>
      </c>
      <c r="G264" s="231">
        <f t="shared" si="189"/>
        <v>0</v>
      </c>
      <c r="H264" s="231">
        <f t="shared" si="190"/>
        <v>0</v>
      </c>
      <c r="I264" s="268">
        <f t="shared" si="175"/>
        <v>0</v>
      </c>
      <c r="J264" s="269">
        <f t="shared" si="191"/>
        <v>0</v>
      </c>
      <c r="K264" s="269">
        <f t="shared" si="192"/>
        <v>0</v>
      </c>
      <c r="L264" s="269">
        <f t="shared" si="176"/>
        <v>0</v>
      </c>
      <c r="M264" s="269">
        <f t="shared" si="177"/>
        <v>0</v>
      </c>
      <c r="N264" s="233">
        <f>VLOOKUP(B264,Dados!$L$86:$P$90,5)</f>
        <v>0</v>
      </c>
      <c r="O264" s="270">
        <f t="shared" si="193"/>
        <v>0.99999999999999989</v>
      </c>
      <c r="P264" s="269">
        <f t="shared" si="194"/>
        <v>0</v>
      </c>
      <c r="Q264" s="269" t="e">
        <f t="shared" si="195"/>
        <v>#DIV/0!</v>
      </c>
      <c r="R264" s="269">
        <f t="shared" si="196"/>
        <v>0</v>
      </c>
      <c r="S264" s="269" t="e">
        <f t="shared" si="197"/>
        <v>#DIV/0!</v>
      </c>
      <c r="T264" s="269" t="e">
        <f t="shared" si="183"/>
        <v>#DIV/0!</v>
      </c>
      <c r="U264" s="234">
        <f t="shared" si="198"/>
        <v>0</v>
      </c>
      <c r="V264" s="232" t="e">
        <f t="shared" si="199"/>
        <v>#DIV/0!</v>
      </c>
      <c r="W264" s="269" t="e">
        <f t="shared" si="200"/>
        <v>#DIV/0!</v>
      </c>
      <c r="X264" s="235">
        <f t="shared" si="178"/>
        <v>0</v>
      </c>
      <c r="Y264" s="236">
        <f t="shared" si="201"/>
        <v>5</v>
      </c>
      <c r="Z264" s="236" t="e">
        <f t="shared" si="202"/>
        <v>#DIV/0!</v>
      </c>
      <c r="AA264" s="236">
        <f t="shared" si="203"/>
        <v>3</v>
      </c>
      <c r="AB264" s="236" t="e">
        <f t="shared" si="204"/>
        <v>#DIV/0!</v>
      </c>
      <c r="AC264" s="235">
        <f t="shared" si="205"/>
        <v>0</v>
      </c>
      <c r="AD264" s="235">
        <f t="shared" si="206"/>
        <v>0</v>
      </c>
      <c r="AE264" s="279">
        <f t="shared" si="207"/>
        <v>0</v>
      </c>
      <c r="AF264" s="232">
        <f t="shared" si="208"/>
        <v>0</v>
      </c>
      <c r="AG264" s="235">
        <f t="shared" si="209"/>
        <v>0</v>
      </c>
      <c r="AH264" s="269">
        <f t="shared" si="210"/>
        <v>0</v>
      </c>
      <c r="AI264" s="232">
        <f t="shared" si="211"/>
        <v>0</v>
      </c>
      <c r="AJ264" s="235">
        <f t="shared" si="212"/>
        <v>0</v>
      </c>
      <c r="AK264" s="269">
        <f t="shared" si="213"/>
        <v>0</v>
      </c>
      <c r="AL264" s="269">
        <f t="shared" si="179"/>
        <v>0</v>
      </c>
      <c r="AM264" s="281" t="e">
        <f>IF(B264&gt;=mpfo,pos*vvm*Dados!$E$122*(ntudv-SUM(U265:$U$301))-SUM($AM$13:AM263),0)</f>
        <v>#DIV/0!</v>
      </c>
      <c r="AN264" s="269" t="e">
        <f t="shared" si="214"/>
        <v>#DIV/0!</v>
      </c>
      <c r="AO264" s="232" t="e">
        <f t="shared" si="215"/>
        <v>#DIV/0!</v>
      </c>
      <c r="AP264" s="242" t="e">
        <f t="shared" si="216"/>
        <v>#DIV/0!</v>
      </c>
      <c r="AQ264" s="235" t="e">
        <f>IF(AP264+SUM($AQ$12:AQ263)&gt;=0,0,-AP264-SUM($AQ$12:AQ263))</f>
        <v>#DIV/0!</v>
      </c>
      <c r="AR264" s="235">
        <f>IF(SUM($N$13:N263)&gt;=pmo,IF(SUM(N263:$N$501)&gt;(1-pmo),B264,0),0)</f>
        <v>0</v>
      </c>
      <c r="AS264" s="235" t="e">
        <f>IF((SUM($U$13:$U263)/ntudv)&gt;=pmv,IF((SUM($U263:$U$501)/ntudv)&gt;(1-pmv),B264,0),0)</f>
        <v>#DIV/0!</v>
      </c>
      <c r="AT264" s="237" t="e">
        <f>IF(MAX(mmo,mmv)=mmo,IF(B264=AR264,(SUM(N$13:$N263)-pmo)/((1-VLOOKUP(MAX(mmo,mmv)-1,$B$13:$O$501,14))+(VLOOKUP(MAX(mmo,mmv)-1,$B$13:$O$501,14)-pmo)),N263/((1-VLOOKUP(MAX(mmo,mmv)-1,$B$13:$O$501,14)+(VLOOKUP(MAX(mmo,mmv)-1,$B$13:$O$501,14)-pmo)))),N263/(1-VLOOKUP(MAX(mmo,mmv)-2,$B$13:$O$501,14)))</f>
        <v>#DIV/0!</v>
      </c>
      <c r="AU264" s="101" t="e">
        <f t="shared" si="180"/>
        <v>#DIV/0!</v>
      </c>
      <c r="AV264" s="287" t="e">
        <f t="shared" si="181"/>
        <v>#DIV/0!</v>
      </c>
      <c r="AW264" s="235" t="e">
        <f t="shared" si="217"/>
        <v>#DIV/0!</v>
      </c>
      <c r="AX264" s="281">
        <f>IF(B264&gt;mpfo,0,IF(B264=mpfo,(vld-teo*(1+tcfo-incc)^(MAX(mmo,mmv)-mbfo))*-1,IF(SUM($N$13:N263)&gt;=pmo,IF(($V263/ntudv)&gt;=pmv,IF(B264=MAX(mmo,mmv),-teo*(1+tcfo-incc)^(B264-mbfo),0),0),0)))</f>
        <v>0</v>
      </c>
      <c r="AY264" s="292" t="e">
        <f t="shared" si="182"/>
        <v>#DIV/0!</v>
      </c>
      <c r="AZ264" s="235" t="e">
        <f t="shared" si="218"/>
        <v>#DIV/0!</v>
      </c>
      <c r="BA264" s="269" t="e">
        <f t="shared" si="219"/>
        <v>#DIV/0!</v>
      </c>
      <c r="BB264" s="292" t="e">
        <f t="shared" si="220"/>
        <v>#DIV/0!</v>
      </c>
      <c r="BC264" s="238" t="e">
        <f>IF(SUM($BC$13:BC263)&gt;0,0,IF(BB264&gt;0,B264,0))</f>
        <v>#DIV/0!</v>
      </c>
      <c r="BD264" s="292" t="e">
        <f>IF(BB264+SUM($BD$12:BD263)&gt;=0,0,-BB264-SUM($BD$12:BD263))</f>
        <v>#DIV/0!</v>
      </c>
      <c r="BE264" s="235" t="e">
        <f>BB264+SUM($BD$12:BD264)</f>
        <v>#DIV/0!</v>
      </c>
      <c r="BF264" s="292" t="e">
        <f>-MIN(BE264:$BE$501)-SUM(BF$12:$BF263)</f>
        <v>#DIV/0!</v>
      </c>
      <c r="BG264" s="235" t="e">
        <f t="shared" si="185"/>
        <v>#DIV/0!</v>
      </c>
    </row>
    <row r="265" spans="2:59">
      <c r="B265" s="120">
        <v>252</v>
      </c>
      <c r="C265" s="241">
        <f t="shared" si="184"/>
        <v>50349</v>
      </c>
      <c r="D265" s="229">
        <f t="shared" si="186"/>
        <v>11</v>
      </c>
      <c r="E265" s="230" t="str">
        <f t="shared" si="187"/>
        <v>-</v>
      </c>
      <c r="F265" s="231">
        <f t="shared" si="188"/>
        <v>0</v>
      </c>
      <c r="G265" s="231">
        <f t="shared" si="189"/>
        <v>0</v>
      </c>
      <c r="H265" s="231">
        <f t="shared" si="190"/>
        <v>0</v>
      </c>
      <c r="I265" s="268">
        <f t="shared" si="175"/>
        <v>0</v>
      </c>
      <c r="J265" s="269">
        <f t="shared" si="191"/>
        <v>0</v>
      </c>
      <c r="K265" s="269">
        <f t="shared" si="192"/>
        <v>0</v>
      </c>
      <c r="L265" s="269">
        <f t="shared" si="176"/>
        <v>0</v>
      </c>
      <c r="M265" s="269">
        <f t="shared" si="177"/>
        <v>0</v>
      </c>
      <c r="N265" s="233">
        <f>VLOOKUP(B265,Dados!$L$86:$P$90,5)</f>
        <v>0</v>
      </c>
      <c r="O265" s="270">
        <f t="shared" si="193"/>
        <v>0.99999999999999989</v>
      </c>
      <c r="P265" s="269">
        <f t="shared" si="194"/>
        <v>0</v>
      </c>
      <c r="Q265" s="269" t="e">
        <f t="shared" si="195"/>
        <v>#DIV/0!</v>
      </c>
      <c r="R265" s="269">
        <f t="shared" si="196"/>
        <v>0</v>
      </c>
      <c r="S265" s="269" t="e">
        <f t="shared" si="197"/>
        <v>#DIV/0!</v>
      </c>
      <c r="T265" s="269" t="e">
        <f t="shared" si="183"/>
        <v>#DIV/0!</v>
      </c>
      <c r="U265" s="234">
        <f t="shared" si="198"/>
        <v>0</v>
      </c>
      <c r="V265" s="232" t="e">
        <f t="shared" si="199"/>
        <v>#DIV/0!</v>
      </c>
      <c r="W265" s="269" t="e">
        <f t="shared" si="200"/>
        <v>#DIV/0!</v>
      </c>
      <c r="X265" s="235">
        <f t="shared" si="178"/>
        <v>0</v>
      </c>
      <c r="Y265" s="236">
        <f t="shared" si="201"/>
        <v>5</v>
      </c>
      <c r="Z265" s="236" t="e">
        <f t="shared" si="202"/>
        <v>#DIV/0!</v>
      </c>
      <c r="AA265" s="236">
        <f t="shared" si="203"/>
        <v>3</v>
      </c>
      <c r="AB265" s="236" t="e">
        <f t="shared" si="204"/>
        <v>#DIV/0!</v>
      </c>
      <c r="AC265" s="235">
        <f t="shared" si="205"/>
        <v>0</v>
      </c>
      <c r="AD265" s="235">
        <f t="shared" si="206"/>
        <v>0</v>
      </c>
      <c r="AE265" s="279">
        <f t="shared" si="207"/>
        <v>0</v>
      </c>
      <c r="AF265" s="232">
        <f t="shared" si="208"/>
        <v>0</v>
      </c>
      <c r="AG265" s="235">
        <f t="shared" si="209"/>
        <v>0</v>
      </c>
      <c r="AH265" s="269">
        <f t="shared" si="210"/>
        <v>0</v>
      </c>
      <c r="AI265" s="232">
        <f t="shared" si="211"/>
        <v>0</v>
      </c>
      <c r="AJ265" s="235">
        <f t="shared" si="212"/>
        <v>0</v>
      </c>
      <c r="AK265" s="269">
        <f t="shared" si="213"/>
        <v>0</v>
      </c>
      <c r="AL265" s="269">
        <f t="shared" si="179"/>
        <v>0</v>
      </c>
      <c r="AM265" s="281" t="e">
        <f>IF(B265&gt;=mpfo,pos*vvm*Dados!$E$122*(ntudv-SUM(U266:$U$301))-SUM($AM$13:AM264),0)</f>
        <v>#DIV/0!</v>
      </c>
      <c r="AN265" s="269" t="e">
        <f t="shared" si="214"/>
        <v>#DIV/0!</v>
      </c>
      <c r="AO265" s="232" t="e">
        <f t="shared" si="215"/>
        <v>#DIV/0!</v>
      </c>
      <c r="AP265" s="242" t="e">
        <f t="shared" si="216"/>
        <v>#DIV/0!</v>
      </c>
      <c r="AQ265" s="235" t="e">
        <f>IF(AP265+SUM($AQ$12:AQ264)&gt;=0,0,-AP265-SUM($AQ$12:AQ264))</f>
        <v>#DIV/0!</v>
      </c>
      <c r="AR265" s="235">
        <f>IF(SUM($N$13:N264)&gt;=pmo,IF(SUM(N264:$N$501)&gt;(1-pmo),B265,0),0)</f>
        <v>0</v>
      </c>
      <c r="AS265" s="235" t="e">
        <f>IF((SUM($U$13:$U264)/ntudv)&gt;=pmv,IF((SUM($U264:$U$501)/ntudv)&gt;(1-pmv),B265,0),0)</f>
        <v>#DIV/0!</v>
      </c>
      <c r="AT265" s="237" t="e">
        <f>IF(MAX(mmo,mmv)=mmo,IF(B265=AR265,(SUM(N$13:$N264)-pmo)/((1-VLOOKUP(MAX(mmo,mmv)-1,$B$13:$O$501,14))+(VLOOKUP(MAX(mmo,mmv)-1,$B$13:$O$501,14)-pmo)),N264/((1-VLOOKUP(MAX(mmo,mmv)-1,$B$13:$O$501,14)+(VLOOKUP(MAX(mmo,mmv)-1,$B$13:$O$501,14)-pmo)))),N264/(1-VLOOKUP(MAX(mmo,mmv)-2,$B$13:$O$501,14)))</f>
        <v>#DIV/0!</v>
      </c>
      <c r="AU265" s="101" t="e">
        <f t="shared" si="180"/>
        <v>#DIV/0!</v>
      </c>
      <c r="AV265" s="287" t="e">
        <f t="shared" si="181"/>
        <v>#DIV/0!</v>
      </c>
      <c r="AW265" s="235" t="e">
        <f t="shared" si="217"/>
        <v>#DIV/0!</v>
      </c>
      <c r="AX265" s="281">
        <f>IF(B265&gt;mpfo,0,IF(B265=mpfo,(vld-teo*(1+tcfo-incc)^(MAX(mmo,mmv)-mbfo))*-1,IF(SUM($N$13:N264)&gt;=pmo,IF(($V264/ntudv)&gt;=pmv,IF(B265=MAX(mmo,mmv),-teo*(1+tcfo-incc)^(B265-mbfo),0),0),0)))</f>
        <v>0</v>
      </c>
      <c r="AY265" s="292" t="e">
        <f t="shared" si="182"/>
        <v>#DIV/0!</v>
      </c>
      <c r="AZ265" s="235" t="e">
        <f t="shared" si="218"/>
        <v>#DIV/0!</v>
      </c>
      <c r="BA265" s="269" t="e">
        <f t="shared" si="219"/>
        <v>#DIV/0!</v>
      </c>
      <c r="BB265" s="292" t="e">
        <f t="shared" si="220"/>
        <v>#DIV/0!</v>
      </c>
      <c r="BC265" s="238" t="e">
        <f>IF(SUM($BC$13:BC264)&gt;0,0,IF(BB265&gt;0,B265,0))</f>
        <v>#DIV/0!</v>
      </c>
      <c r="BD265" s="292" t="e">
        <f>IF(BB265+SUM($BD$12:BD264)&gt;=0,0,-BB265-SUM($BD$12:BD264))</f>
        <v>#DIV/0!</v>
      </c>
      <c r="BE265" s="235" t="e">
        <f>BB265+SUM($BD$12:BD265)</f>
        <v>#DIV/0!</v>
      </c>
      <c r="BF265" s="292" t="e">
        <f>-MIN(BE265:$BE$501)-SUM(BF$12:$BF264)</f>
        <v>#DIV/0!</v>
      </c>
      <c r="BG265" s="235" t="e">
        <f t="shared" si="185"/>
        <v>#DIV/0!</v>
      </c>
    </row>
    <row r="266" spans="2:59">
      <c r="B266" s="246">
        <v>253</v>
      </c>
      <c r="C266" s="241">
        <f t="shared" si="184"/>
        <v>50379</v>
      </c>
      <c r="D266" s="229">
        <f t="shared" si="186"/>
        <v>12</v>
      </c>
      <c r="E266" s="230" t="str">
        <f t="shared" si="187"/>
        <v>-</v>
      </c>
      <c r="F266" s="231">
        <f t="shared" si="188"/>
        <v>0</v>
      </c>
      <c r="G266" s="231">
        <f t="shared" si="189"/>
        <v>0</v>
      </c>
      <c r="H266" s="231">
        <f t="shared" si="190"/>
        <v>0</v>
      </c>
      <c r="I266" s="268">
        <f t="shared" si="175"/>
        <v>0</v>
      </c>
      <c r="J266" s="269">
        <f t="shared" si="191"/>
        <v>0</v>
      </c>
      <c r="K266" s="269">
        <f t="shared" si="192"/>
        <v>0</v>
      </c>
      <c r="L266" s="269">
        <f t="shared" si="176"/>
        <v>0</v>
      </c>
      <c r="M266" s="269">
        <f t="shared" si="177"/>
        <v>0</v>
      </c>
      <c r="N266" s="233">
        <f>VLOOKUP(B266,Dados!$L$86:$P$90,5)</f>
        <v>0</v>
      </c>
      <c r="O266" s="270">
        <f t="shared" si="193"/>
        <v>0.99999999999999989</v>
      </c>
      <c r="P266" s="269">
        <f t="shared" si="194"/>
        <v>0</v>
      </c>
      <c r="Q266" s="269" t="e">
        <f t="shared" si="195"/>
        <v>#DIV/0!</v>
      </c>
      <c r="R266" s="269">
        <f t="shared" si="196"/>
        <v>0</v>
      </c>
      <c r="S266" s="269" t="e">
        <f t="shared" si="197"/>
        <v>#DIV/0!</v>
      </c>
      <c r="T266" s="269" t="e">
        <f t="shared" si="183"/>
        <v>#DIV/0!</v>
      </c>
      <c r="U266" s="234">
        <f t="shared" si="198"/>
        <v>0</v>
      </c>
      <c r="V266" s="232" t="e">
        <f t="shared" si="199"/>
        <v>#DIV/0!</v>
      </c>
      <c r="W266" s="269" t="e">
        <f t="shared" si="200"/>
        <v>#DIV/0!</v>
      </c>
      <c r="X266" s="235">
        <f t="shared" si="178"/>
        <v>0</v>
      </c>
      <c r="Y266" s="236">
        <f t="shared" si="201"/>
        <v>5</v>
      </c>
      <c r="Z266" s="236" t="e">
        <f t="shared" si="202"/>
        <v>#DIV/0!</v>
      </c>
      <c r="AA266" s="236">
        <f t="shared" si="203"/>
        <v>3</v>
      </c>
      <c r="AB266" s="236" t="e">
        <f t="shared" si="204"/>
        <v>#DIV/0!</v>
      </c>
      <c r="AC266" s="235">
        <f t="shared" si="205"/>
        <v>0</v>
      </c>
      <c r="AD266" s="235">
        <f t="shared" si="206"/>
        <v>0</v>
      </c>
      <c r="AE266" s="279">
        <f t="shared" si="207"/>
        <v>0</v>
      </c>
      <c r="AF266" s="232">
        <f t="shared" si="208"/>
        <v>1</v>
      </c>
      <c r="AG266" s="235">
        <f t="shared" si="209"/>
        <v>0</v>
      </c>
      <c r="AH266" s="269">
        <f t="shared" si="210"/>
        <v>0</v>
      </c>
      <c r="AI266" s="232">
        <f t="shared" si="211"/>
        <v>1</v>
      </c>
      <c r="AJ266" s="235">
        <f t="shared" si="212"/>
        <v>0</v>
      </c>
      <c r="AK266" s="269">
        <f t="shared" si="213"/>
        <v>0</v>
      </c>
      <c r="AL266" s="269">
        <f t="shared" si="179"/>
        <v>0</v>
      </c>
      <c r="AM266" s="281" t="e">
        <f>IF(B266&gt;=mpfo,pos*vvm*Dados!$E$122*(ntudv-SUM(U267:$U$301))-SUM($AM$13:AM265),0)</f>
        <v>#DIV/0!</v>
      </c>
      <c r="AN266" s="269" t="e">
        <f t="shared" si="214"/>
        <v>#DIV/0!</v>
      </c>
      <c r="AO266" s="232" t="e">
        <f t="shared" si="215"/>
        <v>#DIV/0!</v>
      </c>
      <c r="AP266" s="242" t="e">
        <f t="shared" si="216"/>
        <v>#DIV/0!</v>
      </c>
      <c r="AQ266" s="235" t="e">
        <f>IF(AP266+SUM($AQ$12:AQ265)&gt;=0,0,-AP266-SUM($AQ$12:AQ265))</f>
        <v>#DIV/0!</v>
      </c>
      <c r="AR266" s="235">
        <f>IF(SUM($N$13:N265)&gt;=pmo,IF(SUM(N265:$N$501)&gt;(1-pmo),B266,0),0)</f>
        <v>0</v>
      </c>
      <c r="AS266" s="235" t="e">
        <f>IF((SUM($U$13:$U265)/ntudv)&gt;=pmv,IF((SUM($U265:$U$501)/ntudv)&gt;(1-pmv),B266,0),0)</f>
        <v>#DIV/0!</v>
      </c>
      <c r="AT266" s="237" t="e">
        <f>IF(MAX(mmo,mmv)=mmo,IF(B266=AR266,(SUM(N$13:$N265)-pmo)/((1-VLOOKUP(MAX(mmo,mmv)-1,$B$13:$O$501,14))+(VLOOKUP(MAX(mmo,mmv)-1,$B$13:$O$501,14)-pmo)),N265/((1-VLOOKUP(MAX(mmo,mmv)-1,$B$13:$O$501,14)+(VLOOKUP(MAX(mmo,mmv)-1,$B$13:$O$501,14)-pmo)))),N265/(1-VLOOKUP(MAX(mmo,mmv)-2,$B$13:$O$501,14)))</f>
        <v>#DIV/0!</v>
      </c>
      <c r="AU266" s="101" t="e">
        <f t="shared" si="180"/>
        <v>#DIV/0!</v>
      </c>
      <c r="AV266" s="287" t="e">
        <f t="shared" si="181"/>
        <v>#DIV/0!</v>
      </c>
      <c r="AW266" s="235" t="e">
        <f t="shared" si="217"/>
        <v>#DIV/0!</v>
      </c>
      <c r="AX266" s="281">
        <f>IF(B266&gt;mpfo,0,IF(B266=mpfo,(vld-teo*(1+tcfo-incc)^(MAX(mmo,mmv)-mbfo))*-1,IF(SUM($N$13:N265)&gt;=pmo,IF(($V265/ntudv)&gt;=pmv,IF(B266=MAX(mmo,mmv),-teo*(1+tcfo-incc)^(B266-mbfo),0),0),0)))</f>
        <v>0</v>
      </c>
      <c r="AY266" s="292" t="e">
        <f t="shared" si="182"/>
        <v>#DIV/0!</v>
      </c>
      <c r="AZ266" s="235" t="e">
        <f t="shared" si="218"/>
        <v>#DIV/0!</v>
      </c>
      <c r="BA266" s="269" t="e">
        <f t="shared" si="219"/>
        <v>#DIV/0!</v>
      </c>
      <c r="BB266" s="292" t="e">
        <f t="shared" si="220"/>
        <v>#DIV/0!</v>
      </c>
      <c r="BC266" s="238" t="e">
        <f>IF(SUM($BC$13:BC265)&gt;0,0,IF(BB266&gt;0,B266,0))</f>
        <v>#DIV/0!</v>
      </c>
      <c r="BD266" s="292" t="e">
        <f>IF(BB266+SUM($BD$12:BD265)&gt;=0,0,-BB266-SUM($BD$12:BD265))</f>
        <v>#DIV/0!</v>
      </c>
      <c r="BE266" s="235" t="e">
        <f>BB266+SUM($BD$12:BD266)</f>
        <v>#DIV/0!</v>
      </c>
      <c r="BF266" s="292" t="e">
        <f>-MIN(BE266:$BE$501)-SUM(BF$12:$BF265)</f>
        <v>#DIV/0!</v>
      </c>
      <c r="BG266" s="235" t="e">
        <f t="shared" si="185"/>
        <v>#DIV/0!</v>
      </c>
    </row>
    <row r="267" spans="2:59">
      <c r="B267" s="120">
        <v>254</v>
      </c>
      <c r="C267" s="241">
        <f t="shared" si="184"/>
        <v>50410</v>
      </c>
      <c r="D267" s="229">
        <f t="shared" si="186"/>
        <v>1</v>
      </c>
      <c r="E267" s="230" t="str">
        <f t="shared" si="187"/>
        <v>-</v>
      </c>
      <c r="F267" s="231">
        <f t="shared" si="188"/>
        <v>0</v>
      </c>
      <c r="G267" s="231">
        <f t="shared" si="189"/>
        <v>0</v>
      </c>
      <c r="H267" s="231">
        <f t="shared" si="190"/>
        <v>0</v>
      </c>
      <c r="I267" s="268">
        <f t="shared" si="175"/>
        <v>0</v>
      </c>
      <c r="J267" s="269">
        <f t="shared" si="191"/>
        <v>0</v>
      </c>
      <c r="K267" s="269">
        <f t="shared" si="192"/>
        <v>0</v>
      </c>
      <c r="L267" s="269">
        <f t="shared" si="176"/>
        <v>0</v>
      </c>
      <c r="M267" s="269">
        <f t="shared" si="177"/>
        <v>0</v>
      </c>
      <c r="N267" s="233">
        <f>VLOOKUP(B267,Dados!$L$86:$P$90,5)</f>
        <v>0</v>
      </c>
      <c r="O267" s="270">
        <f t="shared" si="193"/>
        <v>0.99999999999999989</v>
      </c>
      <c r="P267" s="269">
        <f t="shared" si="194"/>
        <v>0</v>
      </c>
      <c r="Q267" s="269" t="e">
        <f t="shared" si="195"/>
        <v>#DIV/0!</v>
      </c>
      <c r="R267" s="269">
        <f t="shared" si="196"/>
        <v>0</v>
      </c>
      <c r="S267" s="269" t="e">
        <f t="shared" si="197"/>
        <v>#DIV/0!</v>
      </c>
      <c r="T267" s="269" t="e">
        <f t="shared" si="183"/>
        <v>#DIV/0!</v>
      </c>
      <c r="U267" s="234">
        <f t="shared" si="198"/>
        <v>0</v>
      </c>
      <c r="V267" s="232" t="e">
        <f t="shared" si="199"/>
        <v>#DIV/0!</v>
      </c>
      <c r="W267" s="269" t="e">
        <f t="shared" si="200"/>
        <v>#DIV/0!</v>
      </c>
      <c r="X267" s="235">
        <f t="shared" si="178"/>
        <v>0</v>
      </c>
      <c r="Y267" s="236">
        <f t="shared" si="201"/>
        <v>5</v>
      </c>
      <c r="Z267" s="236" t="e">
        <f t="shared" si="202"/>
        <v>#DIV/0!</v>
      </c>
      <c r="AA267" s="236">
        <f t="shared" si="203"/>
        <v>3</v>
      </c>
      <c r="AB267" s="236" t="e">
        <f t="shared" si="204"/>
        <v>#DIV/0!</v>
      </c>
      <c r="AC267" s="235">
        <f t="shared" si="205"/>
        <v>0</v>
      </c>
      <c r="AD267" s="235">
        <f t="shared" si="206"/>
        <v>0</v>
      </c>
      <c r="AE267" s="279">
        <f t="shared" si="207"/>
        <v>0</v>
      </c>
      <c r="AF267" s="232">
        <f t="shared" si="208"/>
        <v>0</v>
      </c>
      <c r="AG267" s="235">
        <f t="shared" si="209"/>
        <v>0</v>
      </c>
      <c r="AH267" s="269">
        <f t="shared" si="210"/>
        <v>0</v>
      </c>
      <c r="AI267" s="232">
        <f t="shared" si="211"/>
        <v>0</v>
      </c>
      <c r="AJ267" s="235">
        <f t="shared" si="212"/>
        <v>0</v>
      </c>
      <c r="AK267" s="269">
        <f t="shared" si="213"/>
        <v>0</v>
      </c>
      <c r="AL267" s="269">
        <f t="shared" si="179"/>
        <v>0</v>
      </c>
      <c r="AM267" s="281" t="e">
        <f>IF(B267&gt;=mpfo,pos*vvm*Dados!$E$122*(ntudv-SUM(U268:$U$301))-SUM($AM$13:AM266),0)</f>
        <v>#DIV/0!</v>
      </c>
      <c r="AN267" s="269" t="e">
        <f t="shared" si="214"/>
        <v>#DIV/0!</v>
      </c>
      <c r="AO267" s="232" t="e">
        <f t="shared" si="215"/>
        <v>#DIV/0!</v>
      </c>
      <c r="AP267" s="242" t="e">
        <f t="shared" si="216"/>
        <v>#DIV/0!</v>
      </c>
      <c r="AQ267" s="235" t="e">
        <f>IF(AP267+SUM($AQ$12:AQ266)&gt;=0,0,-AP267-SUM($AQ$12:AQ266))</f>
        <v>#DIV/0!</v>
      </c>
      <c r="AR267" s="235">
        <f>IF(SUM($N$13:N266)&gt;=pmo,IF(SUM(N266:$N$501)&gt;(1-pmo),B267,0),0)</f>
        <v>0</v>
      </c>
      <c r="AS267" s="235" t="e">
        <f>IF((SUM($U$13:$U266)/ntudv)&gt;=pmv,IF((SUM($U266:$U$501)/ntudv)&gt;(1-pmv),B267,0),0)</f>
        <v>#DIV/0!</v>
      </c>
      <c r="AT267" s="237" t="e">
        <f>IF(MAX(mmo,mmv)=mmo,IF(B267=AR267,(SUM(N$13:$N266)-pmo)/((1-VLOOKUP(MAX(mmo,mmv)-1,$B$13:$O$501,14))+(VLOOKUP(MAX(mmo,mmv)-1,$B$13:$O$501,14)-pmo)),N266/((1-VLOOKUP(MAX(mmo,mmv)-1,$B$13:$O$501,14)+(VLOOKUP(MAX(mmo,mmv)-1,$B$13:$O$501,14)-pmo)))),N266/(1-VLOOKUP(MAX(mmo,mmv)-2,$B$13:$O$501,14)))</f>
        <v>#DIV/0!</v>
      </c>
      <c r="AU267" s="101" t="e">
        <f t="shared" si="180"/>
        <v>#DIV/0!</v>
      </c>
      <c r="AV267" s="287" t="e">
        <f t="shared" si="181"/>
        <v>#DIV/0!</v>
      </c>
      <c r="AW267" s="235" t="e">
        <f t="shared" si="217"/>
        <v>#DIV/0!</v>
      </c>
      <c r="AX267" s="281">
        <f>IF(B267&gt;mpfo,0,IF(B267=mpfo,(vld-teo*(1+tcfo-incc)^(MAX(mmo,mmv)-mbfo))*-1,IF(SUM($N$13:N266)&gt;=pmo,IF(($V266/ntudv)&gt;=pmv,IF(B267=MAX(mmo,mmv),-teo*(1+tcfo-incc)^(B267-mbfo),0),0),0)))</f>
        <v>0</v>
      </c>
      <c r="AY267" s="292" t="e">
        <f t="shared" si="182"/>
        <v>#DIV/0!</v>
      </c>
      <c r="AZ267" s="235" t="e">
        <f t="shared" si="218"/>
        <v>#DIV/0!</v>
      </c>
      <c r="BA267" s="269" t="e">
        <f t="shared" si="219"/>
        <v>#DIV/0!</v>
      </c>
      <c r="BB267" s="292" t="e">
        <f t="shared" si="220"/>
        <v>#DIV/0!</v>
      </c>
      <c r="BC267" s="238" t="e">
        <f>IF(SUM($BC$13:BC266)&gt;0,0,IF(BB267&gt;0,B267,0))</f>
        <v>#DIV/0!</v>
      </c>
      <c r="BD267" s="292" t="e">
        <f>IF(BB267+SUM($BD$12:BD266)&gt;=0,0,-BB267-SUM($BD$12:BD266))</f>
        <v>#DIV/0!</v>
      </c>
      <c r="BE267" s="235" t="e">
        <f>BB267+SUM($BD$12:BD267)</f>
        <v>#DIV/0!</v>
      </c>
      <c r="BF267" s="292" t="e">
        <f>-MIN(BE267:$BE$501)-SUM(BF$12:$BF266)</f>
        <v>#DIV/0!</v>
      </c>
      <c r="BG267" s="235" t="e">
        <f t="shared" si="185"/>
        <v>#DIV/0!</v>
      </c>
    </row>
    <row r="268" spans="2:59">
      <c r="B268" s="246">
        <v>255</v>
      </c>
      <c r="C268" s="241">
        <f t="shared" si="184"/>
        <v>50441</v>
      </c>
      <c r="D268" s="229">
        <f t="shared" si="186"/>
        <v>2</v>
      </c>
      <c r="E268" s="230" t="str">
        <f t="shared" si="187"/>
        <v>-</v>
      </c>
      <c r="F268" s="231">
        <f t="shared" si="188"/>
        <v>0</v>
      </c>
      <c r="G268" s="231">
        <f t="shared" si="189"/>
        <v>0</v>
      </c>
      <c r="H268" s="231">
        <f t="shared" si="190"/>
        <v>0</v>
      </c>
      <c r="I268" s="268">
        <f t="shared" si="175"/>
        <v>0</v>
      </c>
      <c r="J268" s="269">
        <f t="shared" si="191"/>
        <v>0</v>
      </c>
      <c r="K268" s="269">
        <f t="shared" si="192"/>
        <v>0</v>
      </c>
      <c r="L268" s="269">
        <f t="shared" si="176"/>
        <v>0</v>
      </c>
      <c r="M268" s="269">
        <f t="shared" si="177"/>
        <v>0</v>
      </c>
      <c r="N268" s="233">
        <f>VLOOKUP(B268,Dados!$L$86:$P$90,5)</f>
        <v>0</v>
      </c>
      <c r="O268" s="270">
        <f t="shared" si="193"/>
        <v>0.99999999999999989</v>
      </c>
      <c r="P268" s="269">
        <f t="shared" si="194"/>
        <v>0</v>
      </c>
      <c r="Q268" s="269" t="e">
        <f t="shared" si="195"/>
        <v>#DIV/0!</v>
      </c>
      <c r="R268" s="269">
        <f t="shared" si="196"/>
        <v>0</v>
      </c>
      <c r="S268" s="269" t="e">
        <f t="shared" si="197"/>
        <v>#DIV/0!</v>
      </c>
      <c r="T268" s="269" t="e">
        <f t="shared" si="183"/>
        <v>#DIV/0!</v>
      </c>
      <c r="U268" s="234">
        <f t="shared" si="198"/>
        <v>0</v>
      </c>
      <c r="V268" s="232" t="e">
        <f t="shared" si="199"/>
        <v>#DIV/0!</v>
      </c>
      <c r="W268" s="269" t="e">
        <f t="shared" si="200"/>
        <v>#DIV/0!</v>
      </c>
      <c r="X268" s="235">
        <f t="shared" si="178"/>
        <v>0</v>
      </c>
      <c r="Y268" s="236">
        <f t="shared" si="201"/>
        <v>5</v>
      </c>
      <c r="Z268" s="236" t="e">
        <f t="shared" si="202"/>
        <v>#DIV/0!</v>
      </c>
      <c r="AA268" s="236">
        <f t="shared" si="203"/>
        <v>3</v>
      </c>
      <c r="AB268" s="236" t="e">
        <f t="shared" si="204"/>
        <v>#DIV/0!</v>
      </c>
      <c r="AC268" s="235">
        <f t="shared" si="205"/>
        <v>0</v>
      </c>
      <c r="AD268" s="235">
        <f t="shared" si="206"/>
        <v>0</v>
      </c>
      <c r="AE268" s="279">
        <f t="shared" si="207"/>
        <v>0</v>
      </c>
      <c r="AF268" s="232">
        <f t="shared" si="208"/>
        <v>0</v>
      </c>
      <c r="AG268" s="235">
        <f t="shared" si="209"/>
        <v>0</v>
      </c>
      <c r="AH268" s="269">
        <f t="shared" si="210"/>
        <v>0</v>
      </c>
      <c r="AI268" s="232">
        <f t="shared" si="211"/>
        <v>0</v>
      </c>
      <c r="AJ268" s="235">
        <f t="shared" si="212"/>
        <v>0</v>
      </c>
      <c r="AK268" s="269">
        <f t="shared" si="213"/>
        <v>0</v>
      </c>
      <c r="AL268" s="269">
        <f t="shared" si="179"/>
        <v>0</v>
      </c>
      <c r="AM268" s="281" t="e">
        <f>IF(B268&gt;=mpfo,pos*vvm*Dados!$E$122*(ntudv-SUM(U269:$U$301))-SUM($AM$13:AM267),0)</f>
        <v>#DIV/0!</v>
      </c>
      <c r="AN268" s="269" t="e">
        <f t="shared" si="214"/>
        <v>#DIV/0!</v>
      </c>
      <c r="AO268" s="232" t="e">
        <f t="shared" si="215"/>
        <v>#DIV/0!</v>
      </c>
      <c r="AP268" s="242" t="e">
        <f t="shared" si="216"/>
        <v>#DIV/0!</v>
      </c>
      <c r="AQ268" s="235" t="e">
        <f>IF(AP268+SUM($AQ$12:AQ267)&gt;=0,0,-AP268-SUM($AQ$12:AQ267))</f>
        <v>#DIV/0!</v>
      </c>
      <c r="AR268" s="235">
        <f>IF(SUM($N$13:N267)&gt;=pmo,IF(SUM(N267:$N$501)&gt;(1-pmo),B268,0),0)</f>
        <v>0</v>
      </c>
      <c r="AS268" s="235" t="e">
        <f>IF((SUM($U$13:$U267)/ntudv)&gt;=pmv,IF((SUM($U267:$U$501)/ntudv)&gt;(1-pmv),B268,0),0)</f>
        <v>#DIV/0!</v>
      </c>
      <c r="AT268" s="237" t="e">
        <f>IF(MAX(mmo,mmv)=mmo,IF(B268=AR268,(SUM(N$13:$N267)-pmo)/((1-VLOOKUP(MAX(mmo,mmv)-1,$B$13:$O$501,14))+(VLOOKUP(MAX(mmo,mmv)-1,$B$13:$O$501,14)-pmo)),N267/((1-VLOOKUP(MAX(mmo,mmv)-1,$B$13:$O$501,14)+(VLOOKUP(MAX(mmo,mmv)-1,$B$13:$O$501,14)-pmo)))),N267/(1-VLOOKUP(MAX(mmo,mmv)-2,$B$13:$O$501,14)))</f>
        <v>#DIV/0!</v>
      </c>
      <c r="AU268" s="101" t="e">
        <f t="shared" si="180"/>
        <v>#DIV/0!</v>
      </c>
      <c r="AV268" s="287" t="e">
        <f t="shared" si="181"/>
        <v>#DIV/0!</v>
      </c>
      <c r="AW268" s="235" t="e">
        <f t="shared" si="217"/>
        <v>#DIV/0!</v>
      </c>
      <c r="AX268" s="281">
        <f>IF(B268&gt;mpfo,0,IF(B268=mpfo,(vld-teo*(1+tcfo-incc)^(MAX(mmo,mmv)-mbfo))*-1,IF(SUM($N$13:N267)&gt;=pmo,IF(($V267/ntudv)&gt;=pmv,IF(B268=MAX(mmo,mmv),-teo*(1+tcfo-incc)^(B268-mbfo),0),0),0)))</f>
        <v>0</v>
      </c>
      <c r="AY268" s="292" t="e">
        <f t="shared" si="182"/>
        <v>#DIV/0!</v>
      </c>
      <c r="AZ268" s="235" t="e">
        <f t="shared" si="218"/>
        <v>#DIV/0!</v>
      </c>
      <c r="BA268" s="269" t="e">
        <f t="shared" si="219"/>
        <v>#DIV/0!</v>
      </c>
      <c r="BB268" s="292" t="e">
        <f t="shared" si="220"/>
        <v>#DIV/0!</v>
      </c>
      <c r="BC268" s="238" t="e">
        <f>IF(SUM($BC$13:BC267)&gt;0,0,IF(BB268&gt;0,B268,0))</f>
        <v>#DIV/0!</v>
      </c>
      <c r="BD268" s="292" t="e">
        <f>IF(BB268+SUM($BD$12:BD267)&gt;=0,0,-BB268-SUM($BD$12:BD267))</f>
        <v>#DIV/0!</v>
      </c>
      <c r="BE268" s="235" t="e">
        <f>BB268+SUM($BD$12:BD268)</f>
        <v>#DIV/0!</v>
      </c>
      <c r="BF268" s="292" t="e">
        <f>-MIN(BE268:$BE$501)-SUM(BF$12:$BF267)</f>
        <v>#DIV/0!</v>
      </c>
      <c r="BG268" s="235" t="e">
        <f t="shared" si="185"/>
        <v>#DIV/0!</v>
      </c>
    </row>
    <row r="269" spans="2:59">
      <c r="B269" s="120">
        <v>256</v>
      </c>
      <c r="C269" s="241">
        <f t="shared" si="184"/>
        <v>50469</v>
      </c>
      <c r="D269" s="229">
        <f t="shared" si="186"/>
        <v>3</v>
      </c>
      <c r="E269" s="230" t="str">
        <f t="shared" si="187"/>
        <v>-</v>
      </c>
      <c r="F269" s="231">
        <f t="shared" si="188"/>
        <v>0</v>
      </c>
      <c r="G269" s="231">
        <f t="shared" si="189"/>
        <v>0</v>
      </c>
      <c r="H269" s="231">
        <f t="shared" si="190"/>
        <v>0</v>
      </c>
      <c r="I269" s="268">
        <f t="shared" ref="I269:I332" si="221">IF(cmt="SC",G269,IF(cmt="INCC",H269,IF(B269&gt;(mpt+npt),0,IF(B269&lt;(mpt+npt+1),IF(B269&gt;mpt,(vtd-vst)/npt,IF(B269=mpt,vst,0))))))*-1-F269+J269</f>
        <v>0</v>
      </c>
      <c r="J269" s="269">
        <f t="shared" si="191"/>
        <v>0</v>
      </c>
      <c r="K269" s="269">
        <f t="shared" si="192"/>
        <v>0</v>
      </c>
      <c r="L269" s="269">
        <f t="shared" ref="L269:L332" si="222">IF($B269&gt;mppe+npppe,0,IF($B269&lt;mppe+npppe,IF($B269&gt;=mppe,ppe*vgv/npppe,0),0))*-1</f>
        <v>0</v>
      </c>
      <c r="M269" s="269">
        <f t="shared" ref="M269:M332" si="223">IF($B269&gt;mppm+npppm,0,IF($B269&lt;mppm+npppm,IF($B269&gt;=mppm,ppm*vgv/npppm,0),0))*-1</f>
        <v>0</v>
      </c>
      <c r="N269" s="233">
        <f>VLOOKUP(B269,Dados!$L$86:$P$90,5)</f>
        <v>0</v>
      </c>
      <c r="O269" s="270">
        <f t="shared" si="193"/>
        <v>0.99999999999999989</v>
      </c>
      <c r="P269" s="269">
        <f t="shared" si="194"/>
        <v>0</v>
      </c>
      <c r="Q269" s="269" t="e">
        <f t="shared" si="195"/>
        <v>#DIV/0!</v>
      </c>
      <c r="R269" s="269">
        <f t="shared" si="196"/>
        <v>0</v>
      </c>
      <c r="S269" s="269" t="e">
        <f t="shared" si="197"/>
        <v>#DIV/0!</v>
      </c>
      <c r="T269" s="269" t="e">
        <f t="shared" si="183"/>
        <v>#DIV/0!</v>
      </c>
      <c r="U269" s="234">
        <f t="shared" si="198"/>
        <v>0</v>
      </c>
      <c r="V269" s="232" t="e">
        <f t="shared" si="199"/>
        <v>#DIV/0!</v>
      </c>
      <c r="W269" s="269" t="e">
        <f t="shared" si="200"/>
        <v>#DIV/0!</v>
      </c>
      <c r="X269" s="235">
        <f t="shared" ref="X269:X332" si="224">IF(B269-mlan&lt;0,0,IF(U269=0,0,IF(B269-mlan&gt;npm,vtpm*U269,(B269-mlan)*vvm*mdo/npm*U269)))</f>
        <v>0</v>
      </c>
      <c r="Y269" s="236">
        <f t="shared" si="201"/>
        <v>5</v>
      </c>
      <c r="Z269" s="236" t="e">
        <f t="shared" si="202"/>
        <v>#DIV/0!</v>
      </c>
      <c r="AA269" s="236">
        <f t="shared" si="203"/>
        <v>3</v>
      </c>
      <c r="AB269" s="236" t="e">
        <f t="shared" si="204"/>
        <v>#DIV/0!</v>
      </c>
      <c r="AC269" s="235">
        <f t="shared" si="205"/>
        <v>0</v>
      </c>
      <c r="AD269" s="235">
        <f t="shared" si="206"/>
        <v>0</v>
      </c>
      <c r="AE269" s="279">
        <f t="shared" si="207"/>
        <v>0</v>
      </c>
      <c r="AF269" s="232">
        <f t="shared" si="208"/>
        <v>0</v>
      </c>
      <c r="AG269" s="235">
        <f t="shared" si="209"/>
        <v>0</v>
      </c>
      <c r="AH269" s="269">
        <f t="shared" si="210"/>
        <v>0</v>
      </c>
      <c r="AI269" s="232">
        <f t="shared" si="211"/>
        <v>0</v>
      </c>
      <c r="AJ269" s="235">
        <f t="shared" si="212"/>
        <v>0</v>
      </c>
      <c r="AK269" s="269">
        <f t="shared" si="213"/>
        <v>0</v>
      </c>
      <c r="AL269" s="269">
        <f t="shared" ref="AL269:AL332" si="225">IF(B269=mec,cha*ntudv*vvm,0)</f>
        <v>0</v>
      </c>
      <c r="AM269" s="281" t="e">
        <f>IF(B269&gt;=mpfo,pos*vvm*Dados!$E$122*(ntudv-SUM(U270:$U$301))-SUM($AM$13:AM268),0)</f>
        <v>#DIV/0!</v>
      </c>
      <c r="AN269" s="269" t="e">
        <f t="shared" si="214"/>
        <v>#DIV/0!</v>
      </c>
      <c r="AO269" s="232" t="e">
        <f t="shared" si="215"/>
        <v>#DIV/0!</v>
      </c>
      <c r="AP269" s="242" t="e">
        <f t="shared" si="216"/>
        <v>#DIV/0!</v>
      </c>
      <c r="AQ269" s="235" t="e">
        <f>IF(AP269+SUM($AQ$12:AQ268)&gt;=0,0,-AP269-SUM($AQ$12:AQ268))</f>
        <v>#DIV/0!</v>
      </c>
      <c r="AR269" s="235">
        <f>IF(SUM($N$13:N268)&gt;=pmo,IF(SUM(N268:$N$501)&gt;(1-pmo),B269,0),0)</f>
        <v>0</v>
      </c>
      <c r="AS269" s="235" t="e">
        <f>IF((SUM($U$13:$U268)/ntudv)&gt;=pmv,IF((SUM($U268:$U$501)/ntudv)&gt;(1-pmv),B269,0),0)</f>
        <v>#DIV/0!</v>
      </c>
      <c r="AT269" s="237" t="e">
        <f>IF(MAX(mmo,mmv)=mmo,IF(B269=AR269,(SUM(N$13:$N268)-pmo)/((1-VLOOKUP(MAX(mmo,mmv)-1,$B$13:$O$501,14))+(VLOOKUP(MAX(mmo,mmv)-1,$B$13:$O$501,14)-pmo)),N268/((1-VLOOKUP(MAX(mmo,mmv)-1,$B$13:$O$501,14)+(VLOOKUP(MAX(mmo,mmv)-1,$B$13:$O$501,14)-pmo)))),N268/(1-VLOOKUP(MAX(mmo,mmv)-2,$B$13:$O$501,14)))</f>
        <v>#DIV/0!</v>
      </c>
      <c r="AU269" s="101" t="e">
        <f t="shared" ref="AU269:AU332" si="226">IF(B269=MAX(mmo,mmv),teo,0)*(1+tcfo-incc)^(B269-mbfo)</f>
        <v>#DIV/0!</v>
      </c>
      <c r="AV269" s="287" t="e">
        <f t="shared" ref="AV269:AV332" si="227">IF(B269&gt;=MAX(mmo,mmv),IF(B269&lt;(mco+2),(vfo-teo)*AT269,0),0)*(1+tcfo-incc)^(B269-mbfo)+AU269</f>
        <v>#DIV/0!</v>
      </c>
      <c r="AW269" s="235" t="e">
        <f t="shared" si="217"/>
        <v>#DIV/0!</v>
      </c>
      <c r="AX269" s="281">
        <f>IF(B269&gt;mpfo,0,IF(B269=mpfo,(vld-teo*(1+tcfo-incc)^(MAX(mmo,mmv)-mbfo))*-1,IF(SUM($N$13:N268)&gt;=pmo,IF(($V268/ntudv)&gt;=pmv,IF(B269=MAX(mmo,mmv),-teo*(1+tcfo-incc)^(B269-mbfo),0),0),0)))</f>
        <v>0</v>
      </c>
      <c r="AY269" s="292" t="e">
        <f t="shared" ref="AY269:AY332" si="228">IF(IF(cjfo="M",(AZ268)*jfo,IF(B269=mpfo,AW269+AX269,0))*-1&gt;0,0,IF(cjfo="M",(AZ268)*jfo,IF(B269=mpfo,AW269+AX269,0))*-1)</f>
        <v>#DIV/0!</v>
      </c>
      <c r="AZ269" s="235" t="e">
        <f t="shared" si="218"/>
        <v>#DIV/0!</v>
      </c>
      <c r="BA269" s="269" t="e">
        <f t="shared" si="219"/>
        <v>#DIV/0!</v>
      </c>
      <c r="BB269" s="292" t="e">
        <f t="shared" si="220"/>
        <v>#DIV/0!</v>
      </c>
      <c r="BC269" s="238" t="e">
        <f>IF(SUM($BC$13:BC268)&gt;0,0,IF(BB269&gt;0,B269,0))</f>
        <v>#DIV/0!</v>
      </c>
      <c r="BD269" s="292" t="e">
        <f>IF(BB269+SUM($BD$12:BD268)&gt;=0,0,-BB269-SUM($BD$12:BD268))</f>
        <v>#DIV/0!</v>
      </c>
      <c r="BE269" s="235" t="e">
        <f>BB269+SUM($BD$12:BD269)</f>
        <v>#DIV/0!</v>
      </c>
      <c r="BF269" s="292" t="e">
        <f>-MIN(BE269:$BE$501)-SUM(BF$12:$BF268)</f>
        <v>#DIV/0!</v>
      </c>
      <c r="BG269" s="235" t="e">
        <f t="shared" si="185"/>
        <v>#DIV/0!</v>
      </c>
    </row>
    <row r="270" spans="2:59">
      <c r="B270" s="246">
        <v>257</v>
      </c>
      <c r="C270" s="241">
        <f t="shared" si="184"/>
        <v>50500</v>
      </c>
      <c r="D270" s="229">
        <f t="shared" si="186"/>
        <v>4</v>
      </c>
      <c r="E270" s="230" t="str">
        <f t="shared" si="187"/>
        <v>-</v>
      </c>
      <c r="F270" s="231">
        <f t="shared" si="188"/>
        <v>0</v>
      </c>
      <c r="G270" s="231">
        <f t="shared" si="189"/>
        <v>0</v>
      </c>
      <c r="H270" s="231">
        <f t="shared" si="190"/>
        <v>0</v>
      </c>
      <c r="I270" s="268">
        <f t="shared" si="221"/>
        <v>0</v>
      </c>
      <c r="J270" s="269">
        <f t="shared" si="191"/>
        <v>0</v>
      </c>
      <c r="K270" s="269">
        <f t="shared" si="192"/>
        <v>0</v>
      </c>
      <c r="L270" s="269">
        <f t="shared" si="222"/>
        <v>0</v>
      </c>
      <c r="M270" s="269">
        <f t="shared" si="223"/>
        <v>0</v>
      </c>
      <c r="N270" s="233">
        <f>VLOOKUP(B270,Dados!$L$86:$P$90,5)</f>
        <v>0</v>
      </c>
      <c r="O270" s="270">
        <f t="shared" si="193"/>
        <v>0.99999999999999989</v>
      </c>
      <c r="P270" s="269">
        <f t="shared" si="194"/>
        <v>0</v>
      </c>
      <c r="Q270" s="269" t="e">
        <f t="shared" si="195"/>
        <v>#DIV/0!</v>
      </c>
      <c r="R270" s="269">
        <f t="shared" si="196"/>
        <v>0</v>
      </c>
      <c r="S270" s="269" t="e">
        <f t="shared" si="197"/>
        <v>#DIV/0!</v>
      </c>
      <c r="T270" s="269" t="e">
        <f t="shared" ref="T270:T333" si="229">S270+P270+M270+L270+K270+I270+R270+Q270</f>
        <v>#DIV/0!</v>
      </c>
      <c r="U270" s="234">
        <f t="shared" si="198"/>
        <v>0</v>
      </c>
      <c r="V270" s="232" t="e">
        <f t="shared" si="199"/>
        <v>#DIV/0!</v>
      </c>
      <c r="W270" s="269" t="e">
        <f t="shared" si="200"/>
        <v>#DIV/0!</v>
      </c>
      <c r="X270" s="235">
        <f t="shared" si="224"/>
        <v>0</v>
      </c>
      <c r="Y270" s="236">
        <f t="shared" si="201"/>
        <v>5</v>
      </c>
      <c r="Z270" s="236" t="e">
        <f t="shared" si="202"/>
        <v>#DIV/0!</v>
      </c>
      <c r="AA270" s="236">
        <f t="shared" si="203"/>
        <v>3</v>
      </c>
      <c r="AB270" s="236" t="e">
        <f t="shared" si="204"/>
        <v>#DIV/0!</v>
      </c>
      <c r="AC270" s="235">
        <f t="shared" si="205"/>
        <v>0</v>
      </c>
      <c r="AD270" s="235">
        <f t="shared" si="206"/>
        <v>0</v>
      </c>
      <c r="AE270" s="279">
        <f t="shared" si="207"/>
        <v>0</v>
      </c>
      <c r="AF270" s="232">
        <f t="shared" si="208"/>
        <v>0</v>
      </c>
      <c r="AG270" s="235">
        <f t="shared" si="209"/>
        <v>0</v>
      </c>
      <c r="AH270" s="269">
        <f t="shared" si="210"/>
        <v>0</v>
      </c>
      <c r="AI270" s="232">
        <f t="shared" si="211"/>
        <v>0</v>
      </c>
      <c r="AJ270" s="235">
        <f t="shared" si="212"/>
        <v>0</v>
      </c>
      <c r="AK270" s="269">
        <f t="shared" si="213"/>
        <v>0</v>
      </c>
      <c r="AL270" s="269">
        <f t="shared" si="225"/>
        <v>0</v>
      </c>
      <c r="AM270" s="281" t="e">
        <f>IF(B270&gt;=mpfo,pos*vvm*Dados!$E$122*(ntudv-SUM(U271:$U$301))-SUM($AM$13:AM269),0)</f>
        <v>#DIV/0!</v>
      </c>
      <c r="AN270" s="269" t="e">
        <f t="shared" si="214"/>
        <v>#DIV/0!</v>
      </c>
      <c r="AO270" s="232" t="e">
        <f t="shared" si="215"/>
        <v>#DIV/0!</v>
      </c>
      <c r="AP270" s="242" t="e">
        <f t="shared" si="216"/>
        <v>#DIV/0!</v>
      </c>
      <c r="AQ270" s="235" t="e">
        <f>IF(AP270+SUM($AQ$12:AQ269)&gt;=0,0,-AP270-SUM($AQ$12:AQ269))</f>
        <v>#DIV/0!</v>
      </c>
      <c r="AR270" s="235">
        <f>IF(SUM($N$13:N269)&gt;=pmo,IF(SUM(N269:$N$501)&gt;(1-pmo),B270,0),0)</f>
        <v>0</v>
      </c>
      <c r="AS270" s="235" t="e">
        <f>IF((SUM($U$13:$U269)/ntudv)&gt;=pmv,IF((SUM($U269:$U$501)/ntudv)&gt;(1-pmv),B270,0),0)</f>
        <v>#DIV/0!</v>
      </c>
      <c r="AT270" s="237" t="e">
        <f>IF(MAX(mmo,mmv)=mmo,IF(B270=AR270,(SUM(N$13:$N269)-pmo)/((1-VLOOKUP(MAX(mmo,mmv)-1,$B$13:$O$501,14))+(VLOOKUP(MAX(mmo,mmv)-1,$B$13:$O$501,14)-pmo)),N269/((1-VLOOKUP(MAX(mmo,mmv)-1,$B$13:$O$501,14)+(VLOOKUP(MAX(mmo,mmv)-1,$B$13:$O$501,14)-pmo)))),N269/(1-VLOOKUP(MAX(mmo,mmv)-2,$B$13:$O$501,14)))</f>
        <v>#DIV/0!</v>
      </c>
      <c r="AU270" s="101" t="e">
        <f t="shared" si="226"/>
        <v>#DIV/0!</v>
      </c>
      <c r="AV270" s="287" t="e">
        <f t="shared" si="227"/>
        <v>#DIV/0!</v>
      </c>
      <c r="AW270" s="235" t="e">
        <f t="shared" si="217"/>
        <v>#DIV/0!</v>
      </c>
      <c r="AX270" s="281">
        <f>IF(B270&gt;mpfo,0,IF(B270=mpfo,(vld-teo*(1+tcfo-incc)^(MAX(mmo,mmv)-mbfo))*-1,IF(SUM($N$13:N269)&gt;=pmo,IF(($V269/ntudv)&gt;=pmv,IF(B270=MAX(mmo,mmv),-teo*(1+tcfo-incc)^(B270-mbfo),0),0),0)))</f>
        <v>0</v>
      </c>
      <c r="AY270" s="292" t="e">
        <f t="shared" si="228"/>
        <v>#DIV/0!</v>
      </c>
      <c r="AZ270" s="235" t="e">
        <f t="shared" si="218"/>
        <v>#DIV/0!</v>
      </c>
      <c r="BA270" s="269" t="e">
        <f t="shared" si="219"/>
        <v>#DIV/0!</v>
      </c>
      <c r="BB270" s="292" t="e">
        <f t="shared" si="220"/>
        <v>#DIV/0!</v>
      </c>
      <c r="BC270" s="238" t="e">
        <f>IF(SUM($BC$13:BC269)&gt;0,0,IF(BB270&gt;0,B270,0))</f>
        <v>#DIV/0!</v>
      </c>
      <c r="BD270" s="292" t="e">
        <f>IF(BB270+SUM($BD$12:BD269)&gt;=0,0,-BB270-SUM($BD$12:BD269))</f>
        <v>#DIV/0!</v>
      </c>
      <c r="BE270" s="235" t="e">
        <f>BB270+SUM($BD$12:BD270)</f>
        <v>#DIV/0!</v>
      </c>
      <c r="BF270" s="292" t="e">
        <f>-MIN(BE270:$BE$501)-SUM(BF$12:$BF269)</f>
        <v>#DIV/0!</v>
      </c>
      <c r="BG270" s="235" t="e">
        <f t="shared" si="185"/>
        <v>#DIV/0!</v>
      </c>
    </row>
    <row r="271" spans="2:59">
      <c r="B271" s="120">
        <v>258</v>
      </c>
      <c r="C271" s="241">
        <f t="shared" ref="C271:C334" si="230">DATE(YEAR(C270),MONTH(C270)+1,DAY(C270))</f>
        <v>50530</v>
      </c>
      <c r="D271" s="229">
        <f t="shared" si="186"/>
        <v>5</v>
      </c>
      <c r="E271" s="230" t="str">
        <f t="shared" si="187"/>
        <v>-</v>
      </c>
      <c r="F271" s="231">
        <f t="shared" si="188"/>
        <v>0</v>
      </c>
      <c r="G271" s="231">
        <f t="shared" si="189"/>
        <v>0</v>
      </c>
      <c r="H271" s="231">
        <f t="shared" si="190"/>
        <v>0</v>
      </c>
      <c r="I271" s="268">
        <f t="shared" si="221"/>
        <v>0</v>
      </c>
      <c r="J271" s="269">
        <f t="shared" si="191"/>
        <v>0</v>
      </c>
      <c r="K271" s="269">
        <f t="shared" si="192"/>
        <v>0</v>
      </c>
      <c r="L271" s="269">
        <f t="shared" si="222"/>
        <v>0</v>
      </c>
      <c r="M271" s="269">
        <f t="shared" si="223"/>
        <v>0</v>
      </c>
      <c r="N271" s="233">
        <f>VLOOKUP(B271,Dados!$L$86:$P$90,5)</f>
        <v>0</v>
      </c>
      <c r="O271" s="270">
        <f t="shared" si="193"/>
        <v>0.99999999999999989</v>
      </c>
      <c r="P271" s="269">
        <f t="shared" si="194"/>
        <v>0</v>
      </c>
      <c r="Q271" s="269" t="e">
        <f t="shared" si="195"/>
        <v>#DIV/0!</v>
      </c>
      <c r="R271" s="269">
        <f t="shared" si="196"/>
        <v>0</v>
      </c>
      <c r="S271" s="269" t="e">
        <f t="shared" si="197"/>
        <v>#DIV/0!</v>
      </c>
      <c r="T271" s="269" t="e">
        <f t="shared" si="229"/>
        <v>#DIV/0!</v>
      </c>
      <c r="U271" s="234">
        <f t="shared" si="198"/>
        <v>0</v>
      </c>
      <c r="V271" s="232" t="e">
        <f t="shared" si="199"/>
        <v>#DIV/0!</v>
      </c>
      <c r="W271" s="269" t="e">
        <f t="shared" si="200"/>
        <v>#DIV/0!</v>
      </c>
      <c r="X271" s="235">
        <f t="shared" si="224"/>
        <v>0</v>
      </c>
      <c r="Y271" s="236">
        <f t="shared" si="201"/>
        <v>5</v>
      </c>
      <c r="Z271" s="236" t="e">
        <f t="shared" si="202"/>
        <v>#DIV/0!</v>
      </c>
      <c r="AA271" s="236">
        <f t="shared" si="203"/>
        <v>3</v>
      </c>
      <c r="AB271" s="236" t="e">
        <f t="shared" si="204"/>
        <v>#DIV/0!</v>
      </c>
      <c r="AC271" s="235">
        <f t="shared" si="205"/>
        <v>0</v>
      </c>
      <c r="AD271" s="235">
        <f t="shared" si="206"/>
        <v>0</v>
      </c>
      <c r="AE271" s="279">
        <f t="shared" si="207"/>
        <v>0</v>
      </c>
      <c r="AF271" s="232">
        <f t="shared" si="208"/>
        <v>0</v>
      </c>
      <c r="AG271" s="235">
        <f t="shared" si="209"/>
        <v>0</v>
      </c>
      <c r="AH271" s="269">
        <f t="shared" si="210"/>
        <v>0</v>
      </c>
      <c r="AI271" s="232">
        <f t="shared" si="211"/>
        <v>0</v>
      </c>
      <c r="AJ271" s="235">
        <f t="shared" si="212"/>
        <v>0</v>
      </c>
      <c r="AK271" s="269">
        <f t="shared" si="213"/>
        <v>0</v>
      </c>
      <c r="AL271" s="269">
        <f t="shared" si="225"/>
        <v>0</v>
      </c>
      <c r="AM271" s="281" t="e">
        <f>IF(B271&gt;=mpfo,pos*vvm*Dados!$E$122*(ntudv-SUM(U272:$U$301))-SUM($AM$13:AM270),0)</f>
        <v>#DIV/0!</v>
      </c>
      <c r="AN271" s="269" t="e">
        <f t="shared" si="214"/>
        <v>#DIV/0!</v>
      </c>
      <c r="AO271" s="232" t="e">
        <f t="shared" si="215"/>
        <v>#DIV/0!</v>
      </c>
      <c r="AP271" s="242" t="e">
        <f t="shared" si="216"/>
        <v>#DIV/0!</v>
      </c>
      <c r="AQ271" s="235" t="e">
        <f>IF(AP271+SUM($AQ$12:AQ270)&gt;=0,0,-AP271-SUM($AQ$12:AQ270))</f>
        <v>#DIV/0!</v>
      </c>
      <c r="AR271" s="235">
        <f>IF(SUM($N$13:N270)&gt;=pmo,IF(SUM(N270:$N$501)&gt;(1-pmo),B271,0),0)</f>
        <v>0</v>
      </c>
      <c r="AS271" s="235" t="e">
        <f>IF((SUM($U$13:$U270)/ntudv)&gt;=pmv,IF((SUM($U270:$U$501)/ntudv)&gt;(1-pmv),B271,0),0)</f>
        <v>#DIV/0!</v>
      </c>
      <c r="AT271" s="237" t="e">
        <f>IF(MAX(mmo,mmv)=mmo,IF(B271=AR271,(SUM(N$13:$N270)-pmo)/((1-VLOOKUP(MAX(mmo,mmv)-1,$B$13:$O$501,14))+(VLOOKUP(MAX(mmo,mmv)-1,$B$13:$O$501,14)-pmo)),N270/((1-VLOOKUP(MAX(mmo,mmv)-1,$B$13:$O$501,14)+(VLOOKUP(MAX(mmo,mmv)-1,$B$13:$O$501,14)-pmo)))),N270/(1-VLOOKUP(MAX(mmo,mmv)-2,$B$13:$O$501,14)))</f>
        <v>#DIV/0!</v>
      </c>
      <c r="AU271" s="101" t="e">
        <f t="shared" si="226"/>
        <v>#DIV/0!</v>
      </c>
      <c r="AV271" s="287" t="e">
        <f t="shared" si="227"/>
        <v>#DIV/0!</v>
      </c>
      <c r="AW271" s="235" t="e">
        <f t="shared" si="217"/>
        <v>#DIV/0!</v>
      </c>
      <c r="AX271" s="281">
        <f>IF(B271&gt;mpfo,0,IF(B271=mpfo,(vld-teo*(1+tcfo-incc)^(MAX(mmo,mmv)-mbfo))*-1,IF(SUM($N$13:N270)&gt;=pmo,IF(($V270/ntudv)&gt;=pmv,IF(B271=MAX(mmo,mmv),-teo*(1+tcfo-incc)^(B271-mbfo),0),0),0)))</f>
        <v>0</v>
      </c>
      <c r="AY271" s="292" t="e">
        <f t="shared" si="228"/>
        <v>#DIV/0!</v>
      </c>
      <c r="AZ271" s="235" t="e">
        <f t="shared" si="218"/>
        <v>#DIV/0!</v>
      </c>
      <c r="BA271" s="269" t="e">
        <f t="shared" si="219"/>
        <v>#DIV/0!</v>
      </c>
      <c r="BB271" s="292" t="e">
        <f t="shared" si="220"/>
        <v>#DIV/0!</v>
      </c>
      <c r="BC271" s="238" t="e">
        <f>IF(SUM($BC$13:BC270)&gt;0,0,IF(BB271&gt;0,B271,0))</f>
        <v>#DIV/0!</v>
      </c>
      <c r="BD271" s="292" t="e">
        <f>IF(BB271+SUM($BD$12:BD270)&gt;=0,0,-BB271-SUM($BD$12:BD270))</f>
        <v>#DIV/0!</v>
      </c>
      <c r="BE271" s="235" t="e">
        <f>BB271+SUM($BD$12:BD271)</f>
        <v>#DIV/0!</v>
      </c>
      <c r="BF271" s="292" t="e">
        <f>-MIN(BE271:$BE$501)-SUM(BF$12:$BF270)</f>
        <v>#DIV/0!</v>
      </c>
      <c r="BG271" s="235" t="e">
        <f t="shared" ref="BG271:BG334" si="231">BF271</f>
        <v>#DIV/0!</v>
      </c>
    </row>
    <row r="272" spans="2:59">
      <c r="B272" s="246">
        <v>259</v>
      </c>
      <c r="C272" s="241">
        <f t="shared" si="230"/>
        <v>50561</v>
      </c>
      <c r="D272" s="229">
        <f t="shared" si="186"/>
        <v>6</v>
      </c>
      <c r="E272" s="230" t="str">
        <f t="shared" si="187"/>
        <v>-</v>
      </c>
      <c r="F272" s="231">
        <f t="shared" si="188"/>
        <v>0</v>
      </c>
      <c r="G272" s="231">
        <f t="shared" si="189"/>
        <v>0</v>
      </c>
      <c r="H272" s="231">
        <f t="shared" si="190"/>
        <v>0</v>
      </c>
      <c r="I272" s="268">
        <f t="shared" si="221"/>
        <v>0</v>
      </c>
      <c r="J272" s="269">
        <f t="shared" si="191"/>
        <v>0</v>
      </c>
      <c r="K272" s="269">
        <f t="shared" si="192"/>
        <v>0</v>
      </c>
      <c r="L272" s="269">
        <f t="shared" si="222"/>
        <v>0</v>
      </c>
      <c r="M272" s="269">
        <f t="shared" si="223"/>
        <v>0</v>
      </c>
      <c r="N272" s="233">
        <f>VLOOKUP(B272,Dados!$L$86:$P$90,5)</f>
        <v>0</v>
      </c>
      <c r="O272" s="270">
        <f t="shared" si="193"/>
        <v>0.99999999999999989</v>
      </c>
      <c r="P272" s="269">
        <f t="shared" si="194"/>
        <v>0</v>
      </c>
      <c r="Q272" s="269" t="e">
        <f t="shared" si="195"/>
        <v>#DIV/0!</v>
      </c>
      <c r="R272" s="269">
        <f t="shared" si="196"/>
        <v>0</v>
      </c>
      <c r="S272" s="269" t="e">
        <f t="shared" si="197"/>
        <v>#DIV/0!</v>
      </c>
      <c r="T272" s="269" t="e">
        <f t="shared" si="229"/>
        <v>#DIV/0!</v>
      </c>
      <c r="U272" s="234">
        <f t="shared" si="198"/>
        <v>0</v>
      </c>
      <c r="V272" s="232" t="e">
        <f t="shared" si="199"/>
        <v>#DIV/0!</v>
      </c>
      <c r="W272" s="269" t="e">
        <f t="shared" si="200"/>
        <v>#DIV/0!</v>
      </c>
      <c r="X272" s="235">
        <f t="shared" si="224"/>
        <v>0</v>
      </c>
      <c r="Y272" s="236">
        <f t="shared" si="201"/>
        <v>5</v>
      </c>
      <c r="Z272" s="236" t="e">
        <f t="shared" si="202"/>
        <v>#DIV/0!</v>
      </c>
      <c r="AA272" s="236">
        <f t="shared" si="203"/>
        <v>3</v>
      </c>
      <c r="AB272" s="236" t="e">
        <f t="shared" si="204"/>
        <v>#DIV/0!</v>
      </c>
      <c r="AC272" s="235">
        <f t="shared" si="205"/>
        <v>0</v>
      </c>
      <c r="AD272" s="235">
        <f t="shared" si="206"/>
        <v>0</v>
      </c>
      <c r="AE272" s="279">
        <f t="shared" si="207"/>
        <v>0</v>
      </c>
      <c r="AF272" s="232">
        <f t="shared" si="208"/>
        <v>1</v>
      </c>
      <c r="AG272" s="235">
        <f t="shared" si="209"/>
        <v>0</v>
      </c>
      <c r="AH272" s="269">
        <f t="shared" si="210"/>
        <v>0</v>
      </c>
      <c r="AI272" s="232">
        <f t="shared" si="211"/>
        <v>0</v>
      </c>
      <c r="AJ272" s="235">
        <f t="shared" si="212"/>
        <v>0</v>
      </c>
      <c r="AK272" s="269">
        <f t="shared" si="213"/>
        <v>0</v>
      </c>
      <c r="AL272" s="269">
        <f t="shared" si="225"/>
        <v>0</v>
      </c>
      <c r="AM272" s="281" t="e">
        <f>IF(B272&gt;=mpfo,pos*vvm*Dados!$E$122*(ntudv-SUM(U273:$U$301))-SUM($AM$13:AM271),0)</f>
        <v>#DIV/0!</v>
      </c>
      <c r="AN272" s="269" t="e">
        <f t="shared" si="214"/>
        <v>#DIV/0!</v>
      </c>
      <c r="AO272" s="232" t="e">
        <f t="shared" si="215"/>
        <v>#DIV/0!</v>
      </c>
      <c r="AP272" s="242" t="e">
        <f t="shared" si="216"/>
        <v>#DIV/0!</v>
      </c>
      <c r="AQ272" s="235" t="e">
        <f>IF(AP272+SUM($AQ$12:AQ271)&gt;=0,0,-AP272-SUM($AQ$12:AQ271))</f>
        <v>#DIV/0!</v>
      </c>
      <c r="AR272" s="235">
        <f>IF(SUM($N$13:N271)&gt;=pmo,IF(SUM(N271:$N$501)&gt;(1-pmo),B272,0),0)</f>
        <v>0</v>
      </c>
      <c r="AS272" s="235" t="e">
        <f>IF((SUM($U$13:$U271)/ntudv)&gt;=pmv,IF((SUM($U271:$U$501)/ntudv)&gt;(1-pmv),B272,0),0)</f>
        <v>#DIV/0!</v>
      </c>
      <c r="AT272" s="237" t="e">
        <f>IF(MAX(mmo,mmv)=mmo,IF(B272=AR272,(SUM(N$13:$N271)-pmo)/((1-VLOOKUP(MAX(mmo,mmv)-1,$B$13:$O$501,14))+(VLOOKUP(MAX(mmo,mmv)-1,$B$13:$O$501,14)-pmo)),N271/((1-VLOOKUP(MAX(mmo,mmv)-1,$B$13:$O$501,14)+(VLOOKUP(MAX(mmo,mmv)-1,$B$13:$O$501,14)-pmo)))),N271/(1-VLOOKUP(MAX(mmo,mmv)-2,$B$13:$O$501,14)))</f>
        <v>#DIV/0!</v>
      </c>
      <c r="AU272" s="101" t="e">
        <f t="shared" si="226"/>
        <v>#DIV/0!</v>
      </c>
      <c r="AV272" s="287" t="e">
        <f t="shared" si="227"/>
        <v>#DIV/0!</v>
      </c>
      <c r="AW272" s="235" t="e">
        <f t="shared" si="217"/>
        <v>#DIV/0!</v>
      </c>
      <c r="AX272" s="281">
        <f>IF(B272&gt;mpfo,0,IF(B272=mpfo,(vld-teo*(1+tcfo-incc)^(MAX(mmo,mmv)-mbfo))*-1,IF(SUM($N$13:N271)&gt;=pmo,IF(($V271/ntudv)&gt;=pmv,IF(B272=MAX(mmo,mmv),-teo*(1+tcfo-incc)^(B272-mbfo),0),0),0)))</f>
        <v>0</v>
      </c>
      <c r="AY272" s="292" t="e">
        <f t="shared" si="228"/>
        <v>#DIV/0!</v>
      </c>
      <c r="AZ272" s="235" t="e">
        <f t="shared" si="218"/>
        <v>#DIV/0!</v>
      </c>
      <c r="BA272" s="269" t="e">
        <f t="shared" si="219"/>
        <v>#DIV/0!</v>
      </c>
      <c r="BB272" s="292" t="e">
        <f t="shared" si="220"/>
        <v>#DIV/0!</v>
      </c>
      <c r="BC272" s="238" t="e">
        <f>IF(SUM($BC$13:BC271)&gt;0,0,IF(BB272&gt;0,B272,0))</f>
        <v>#DIV/0!</v>
      </c>
      <c r="BD272" s="292" t="e">
        <f>IF(BB272+SUM($BD$12:BD271)&gt;=0,0,-BB272-SUM($BD$12:BD271))</f>
        <v>#DIV/0!</v>
      </c>
      <c r="BE272" s="235" t="e">
        <f>BB272+SUM($BD$12:BD272)</f>
        <v>#DIV/0!</v>
      </c>
      <c r="BF272" s="292" t="e">
        <f>-MIN(BE272:$BE$501)-SUM(BF$12:$BF271)</f>
        <v>#DIV/0!</v>
      </c>
      <c r="BG272" s="235" t="e">
        <f t="shared" si="231"/>
        <v>#DIV/0!</v>
      </c>
    </row>
    <row r="273" spans="2:59">
      <c r="B273" s="120">
        <v>260</v>
      </c>
      <c r="C273" s="241">
        <f t="shared" si="230"/>
        <v>50591</v>
      </c>
      <c r="D273" s="229">
        <f t="shared" si="186"/>
        <v>7</v>
      </c>
      <c r="E273" s="230" t="str">
        <f t="shared" si="187"/>
        <v>-</v>
      </c>
      <c r="F273" s="231">
        <f t="shared" si="188"/>
        <v>0</v>
      </c>
      <c r="G273" s="231">
        <f t="shared" si="189"/>
        <v>0</v>
      </c>
      <c r="H273" s="231">
        <f t="shared" si="190"/>
        <v>0</v>
      </c>
      <c r="I273" s="268">
        <f t="shared" si="221"/>
        <v>0</v>
      </c>
      <c r="J273" s="269">
        <f t="shared" si="191"/>
        <v>0</v>
      </c>
      <c r="K273" s="269">
        <f t="shared" si="192"/>
        <v>0</v>
      </c>
      <c r="L273" s="269">
        <f t="shared" si="222"/>
        <v>0</v>
      </c>
      <c r="M273" s="269">
        <f t="shared" si="223"/>
        <v>0</v>
      </c>
      <c r="N273" s="233">
        <f>VLOOKUP(B273,Dados!$L$86:$P$90,5)</f>
        <v>0</v>
      </c>
      <c r="O273" s="270">
        <f t="shared" si="193"/>
        <v>0.99999999999999989</v>
      </c>
      <c r="P273" s="269">
        <f t="shared" si="194"/>
        <v>0</v>
      </c>
      <c r="Q273" s="269" t="e">
        <f t="shared" si="195"/>
        <v>#DIV/0!</v>
      </c>
      <c r="R273" s="269">
        <f t="shared" si="196"/>
        <v>0</v>
      </c>
      <c r="S273" s="269" t="e">
        <f t="shared" si="197"/>
        <v>#DIV/0!</v>
      </c>
      <c r="T273" s="269" t="e">
        <f t="shared" si="229"/>
        <v>#DIV/0!</v>
      </c>
      <c r="U273" s="234">
        <f t="shared" si="198"/>
        <v>0</v>
      </c>
      <c r="V273" s="232" t="e">
        <f t="shared" si="199"/>
        <v>#DIV/0!</v>
      </c>
      <c r="W273" s="269" t="e">
        <f t="shared" si="200"/>
        <v>#DIV/0!</v>
      </c>
      <c r="X273" s="235">
        <f t="shared" si="224"/>
        <v>0</v>
      </c>
      <c r="Y273" s="236">
        <f t="shared" si="201"/>
        <v>5</v>
      </c>
      <c r="Z273" s="236" t="e">
        <f t="shared" si="202"/>
        <v>#DIV/0!</v>
      </c>
      <c r="AA273" s="236">
        <f t="shared" si="203"/>
        <v>3</v>
      </c>
      <c r="AB273" s="236" t="e">
        <f t="shared" si="204"/>
        <v>#DIV/0!</v>
      </c>
      <c r="AC273" s="235">
        <f t="shared" si="205"/>
        <v>0</v>
      </c>
      <c r="AD273" s="235">
        <f t="shared" si="206"/>
        <v>0</v>
      </c>
      <c r="AE273" s="279">
        <f t="shared" si="207"/>
        <v>0</v>
      </c>
      <c r="AF273" s="232">
        <f t="shared" si="208"/>
        <v>0</v>
      </c>
      <c r="AG273" s="235">
        <f t="shared" si="209"/>
        <v>0</v>
      </c>
      <c r="AH273" s="269">
        <f t="shared" si="210"/>
        <v>0</v>
      </c>
      <c r="AI273" s="232">
        <f t="shared" si="211"/>
        <v>0</v>
      </c>
      <c r="AJ273" s="235">
        <f t="shared" si="212"/>
        <v>0</v>
      </c>
      <c r="AK273" s="269">
        <f t="shared" si="213"/>
        <v>0</v>
      </c>
      <c r="AL273" s="269">
        <f t="shared" si="225"/>
        <v>0</v>
      </c>
      <c r="AM273" s="281" t="e">
        <f>IF(B273&gt;=mpfo,pos*vvm*Dados!$E$122*(ntudv-SUM(U274:$U$301))-SUM($AM$13:AM272),0)</f>
        <v>#DIV/0!</v>
      </c>
      <c r="AN273" s="269" t="e">
        <f t="shared" si="214"/>
        <v>#DIV/0!</v>
      </c>
      <c r="AO273" s="232" t="e">
        <f t="shared" si="215"/>
        <v>#DIV/0!</v>
      </c>
      <c r="AP273" s="242" t="e">
        <f t="shared" si="216"/>
        <v>#DIV/0!</v>
      </c>
      <c r="AQ273" s="235" t="e">
        <f>IF(AP273+SUM($AQ$12:AQ272)&gt;=0,0,-AP273-SUM($AQ$12:AQ272))</f>
        <v>#DIV/0!</v>
      </c>
      <c r="AR273" s="235">
        <f>IF(SUM($N$13:N272)&gt;=pmo,IF(SUM(N272:$N$501)&gt;(1-pmo),B273,0),0)</f>
        <v>0</v>
      </c>
      <c r="AS273" s="235" t="e">
        <f>IF((SUM($U$13:$U272)/ntudv)&gt;=pmv,IF((SUM($U272:$U$501)/ntudv)&gt;(1-pmv),B273,0),0)</f>
        <v>#DIV/0!</v>
      </c>
      <c r="AT273" s="237" t="e">
        <f>IF(MAX(mmo,mmv)=mmo,IF(B273=AR273,(SUM(N$13:$N272)-pmo)/((1-VLOOKUP(MAX(mmo,mmv)-1,$B$13:$O$501,14))+(VLOOKUP(MAX(mmo,mmv)-1,$B$13:$O$501,14)-pmo)),N272/((1-VLOOKUP(MAX(mmo,mmv)-1,$B$13:$O$501,14)+(VLOOKUP(MAX(mmo,mmv)-1,$B$13:$O$501,14)-pmo)))),N272/(1-VLOOKUP(MAX(mmo,mmv)-2,$B$13:$O$501,14)))</f>
        <v>#DIV/0!</v>
      </c>
      <c r="AU273" s="101" t="e">
        <f t="shared" si="226"/>
        <v>#DIV/0!</v>
      </c>
      <c r="AV273" s="287" t="e">
        <f t="shared" si="227"/>
        <v>#DIV/0!</v>
      </c>
      <c r="AW273" s="235" t="e">
        <f t="shared" si="217"/>
        <v>#DIV/0!</v>
      </c>
      <c r="AX273" s="281">
        <f>IF(B273&gt;mpfo,0,IF(B273=mpfo,(vld-teo*(1+tcfo-incc)^(MAX(mmo,mmv)-mbfo))*-1,IF(SUM($N$13:N272)&gt;=pmo,IF(($V272/ntudv)&gt;=pmv,IF(B273=MAX(mmo,mmv),-teo*(1+tcfo-incc)^(B273-mbfo),0),0),0)))</f>
        <v>0</v>
      </c>
      <c r="AY273" s="292" t="e">
        <f t="shared" si="228"/>
        <v>#DIV/0!</v>
      </c>
      <c r="AZ273" s="235" t="e">
        <f t="shared" si="218"/>
        <v>#DIV/0!</v>
      </c>
      <c r="BA273" s="269" t="e">
        <f t="shared" si="219"/>
        <v>#DIV/0!</v>
      </c>
      <c r="BB273" s="292" t="e">
        <f t="shared" si="220"/>
        <v>#DIV/0!</v>
      </c>
      <c r="BC273" s="238" t="e">
        <f>IF(SUM($BC$13:BC272)&gt;0,0,IF(BB273&gt;0,B273,0))</f>
        <v>#DIV/0!</v>
      </c>
      <c r="BD273" s="292" t="e">
        <f>IF(BB273+SUM($BD$12:BD272)&gt;=0,0,-BB273-SUM($BD$12:BD272))</f>
        <v>#DIV/0!</v>
      </c>
      <c r="BE273" s="235" t="e">
        <f>BB273+SUM($BD$12:BD273)</f>
        <v>#DIV/0!</v>
      </c>
      <c r="BF273" s="292" t="e">
        <f>-MIN(BE273:$BE$501)-SUM(BF$12:$BF272)</f>
        <v>#DIV/0!</v>
      </c>
      <c r="BG273" s="235" t="e">
        <f t="shared" si="231"/>
        <v>#DIV/0!</v>
      </c>
    </row>
    <row r="274" spans="2:59">
      <c r="B274" s="246">
        <v>261</v>
      </c>
      <c r="C274" s="241">
        <f t="shared" si="230"/>
        <v>50622</v>
      </c>
      <c r="D274" s="229">
        <f t="shared" si="186"/>
        <v>8</v>
      </c>
      <c r="E274" s="230" t="str">
        <f t="shared" si="187"/>
        <v>-</v>
      </c>
      <c r="F274" s="231">
        <f t="shared" si="188"/>
        <v>0</v>
      </c>
      <c r="G274" s="231">
        <f t="shared" si="189"/>
        <v>0</v>
      </c>
      <c r="H274" s="231">
        <f t="shared" si="190"/>
        <v>0</v>
      </c>
      <c r="I274" s="268">
        <f t="shared" si="221"/>
        <v>0</v>
      </c>
      <c r="J274" s="269">
        <f t="shared" si="191"/>
        <v>0</v>
      </c>
      <c r="K274" s="269">
        <f t="shared" si="192"/>
        <v>0</v>
      </c>
      <c r="L274" s="269">
        <f t="shared" si="222"/>
        <v>0</v>
      </c>
      <c r="M274" s="269">
        <f t="shared" si="223"/>
        <v>0</v>
      </c>
      <c r="N274" s="233">
        <f>VLOOKUP(B274,Dados!$L$86:$P$90,5)</f>
        <v>0</v>
      </c>
      <c r="O274" s="270">
        <f t="shared" si="193"/>
        <v>0.99999999999999989</v>
      </c>
      <c r="P274" s="269">
        <f t="shared" si="194"/>
        <v>0</v>
      </c>
      <c r="Q274" s="269" t="e">
        <f t="shared" si="195"/>
        <v>#DIV/0!</v>
      </c>
      <c r="R274" s="269">
        <f t="shared" si="196"/>
        <v>0</v>
      </c>
      <c r="S274" s="269" t="e">
        <f t="shared" si="197"/>
        <v>#DIV/0!</v>
      </c>
      <c r="T274" s="269" t="e">
        <f t="shared" si="229"/>
        <v>#DIV/0!</v>
      </c>
      <c r="U274" s="234">
        <f t="shared" si="198"/>
        <v>0</v>
      </c>
      <c r="V274" s="232" t="e">
        <f t="shared" si="199"/>
        <v>#DIV/0!</v>
      </c>
      <c r="W274" s="269" t="e">
        <f t="shared" si="200"/>
        <v>#DIV/0!</v>
      </c>
      <c r="X274" s="235">
        <f t="shared" si="224"/>
        <v>0</v>
      </c>
      <c r="Y274" s="236">
        <f t="shared" si="201"/>
        <v>5</v>
      </c>
      <c r="Z274" s="236" t="e">
        <f t="shared" si="202"/>
        <v>#DIV/0!</v>
      </c>
      <c r="AA274" s="236">
        <f t="shared" si="203"/>
        <v>3</v>
      </c>
      <c r="AB274" s="236" t="e">
        <f t="shared" si="204"/>
        <v>#DIV/0!</v>
      </c>
      <c r="AC274" s="235">
        <f t="shared" si="205"/>
        <v>0</v>
      </c>
      <c r="AD274" s="235">
        <f t="shared" si="206"/>
        <v>0</v>
      </c>
      <c r="AE274" s="279">
        <f t="shared" si="207"/>
        <v>0</v>
      </c>
      <c r="AF274" s="232">
        <f t="shared" si="208"/>
        <v>0</v>
      </c>
      <c r="AG274" s="235">
        <f t="shared" si="209"/>
        <v>0</v>
      </c>
      <c r="AH274" s="269">
        <f t="shared" si="210"/>
        <v>0</v>
      </c>
      <c r="AI274" s="232">
        <f t="shared" si="211"/>
        <v>0</v>
      </c>
      <c r="AJ274" s="235">
        <f t="shared" si="212"/>
        <v>0</v>
      </c>
      <c r="AK274" s="269">
        <f t="shared" si="213"/>
        <v>0</v>
      </c>
      <c r="AL274" s="269">
        <f t="shared" si="225"/>
        <v>0</v>
      </c>
      <c r="AM274" s="281" t="e">
        <f>IF(B274&gt;=mpfo,pos*vvm*Dados!$E$122*(ntudv-SUM(U275:$U$301))-SUM($AM$13:AM273),0)</f>
        <v>#DIV/0!</v>
      </c>
      <c r="AN274" s="269" t="e">
        <f t="shared" si="214"/>
        <v>#DIV/0!</v>
      </c>
      <c r="AO274" s="232" t="e">
        <f t="shared" si="215"/>
        <v>#DIV/0!</v>
      </c>
      <c r="AP274" s="242" t="e">
        <f t="shared" si="216"/>
        <v>#DIV/0!</v>
      </c>
      <c r="AQ274" s="235" t="e">
        <f>IF(AP274+SUM($AQ$12:AQ273)&gt;=0,0,-AP274-SUM($AQ$12:AQ273))</f>
        <v>#DIV/0!</v>
      </c>
      <c r="AR274" s="235">
        <f>IF(SUM($N$13:N273)&gt;=pmo,IF(SUM(N273:$N$501)&gt;(1-pmo),B274,0),0)</f>
        <v>0</v>
      </c>
      <c r="AS274" s="235" t="e">
        <f>IF((SUM($U$13:$U273)/ntudv)&gt;=pmv,IF((SUM($U273:$U$501)/ntudv)&gt;(1-pmv),B274,0),0)</f>
        <v>#DIV/0!</v>
      </c>
      <c r="AT274" s="237" t="e">
        <f>IF(MAX(mmo,mmv)=mmo,IF(B274=AR274,(SUM(N$13:$N273)-pmo)/((1-VLOOKUP(MAX(mmo,mmv)-1,$B$13:$O$501,14))+(VLOOKUP(MAX(mmo,mmv)-1,$B$13:$O$501,14)-pmo)),N273/((1-VLOOKUP(MAX(mmo,mmv)-1,$B$13:$O$501,14)+(VLOOKUP(MAX(mmo,mmv)-1,$B$13:$O$501,14)-pmo)))),N273/(1-VLOOKUP(MAX(mmo,mmv)-2,$B$13:$O$501,14)))</f>
        <v>#DIV/0!</v>
      </c>
      <c r="AU274" s="101" t="e">
        <f t="shared" si="226"/>
        <v>#DIV/0!</v>
      </c>
      <c r="AV274" s="287" t="e">
        <f t="shared" si="227"/>
        <v>#DIV/0!</v>
      </c>
      <c r="AW274" s="235" t="e">
        <f t="shared" si="217"/>
        <v>#DIV/0!</v>
      </c>
      <c r="AX274" s="281">
        <f>IF(B274&gt;mpfo,0,IF(B274=mpfo,(vld-teo*(1+tcfo-incc)^(MAX(mmo,mmv)-mbfo))*-1,IF(SUM($N$13:N273)&gt;=pmo,IF(($V273/ntudv)&gt;=pmv,IF(B274=MAX(mmo,mmv),-teo*(1+tcfo-incc)^(B274-mbfo),0),0),0)))</f>
        <v>0</v>
      </c>
      <c r="AY274" s="292" t="e">
        <f t="shared" si="228"/>
        <v>#DIV/0!</v>
      </c>
      <c r="AZ274" s="235" t="e">
        <f t="shared" si="218"/>
        <v>#DIV/0!</v>
      </c>
      <c r="BA274" s="269" t="e">
        <f t="shared" si="219"/>
        <v>#DIV/0!</v>
      </c>
      <c r="BB274" s="292" t="e">
        <f t="shared" si="220"/>
        <v>#DIV/0!</v>
      </c>
      <c r="BC274" s="238" t="e">
        <f>IF(SUM($BC$13:BC273)&gt;0,0,IF(BB274&gt;0,B274,0))</f>
        <v>#DIV/0!</v>
      </c>
      <c r="BD274" s="292" t="e">
        <f>IF(BB274+SUM($BD$12:BD273)&gt;=0,0,-BB274-SUM($BD$12:BD273))</f>
        <v>#DIV/0!</v>
      </c>
      <c r="BE274" s="235" t="e">
        <f>BB274+SUM($BD$12:BD274)</f>
        <v>#DIV/0!</v>
      </c>
      <c r="BF274" s="292" t="e">
        <f>-MIN(BE274:$BE$501)-SUM(BF$12:$BF273)</f>
        <v>#DIV/0!</v>
      </c>
      <c r="BG274" s="235" t="e">
        <f t="shared" si="231"/>
        <v>#DIV/0!</v>
      </c>
    </row>
    <row r="275" spans="2:59">
      <c r="B275" s="120">
        <v>262</v>
      </c>
      <c r="C275" s="241">
        <f t="shared" si="230"/>
        <v>50653</v>
      </c>
      <c r="D275" s="229">
        <f t="shared" si="186"/>
        <v>9</v>
      </c>
      <c r="E275" s="230" t="str">
        <f t="shared" si="187"/>
        <v>-</v>
      </c>
      <c r="F275" s="231">
        <f t="shared" si="188"/>
        <v>0</v>
      </c>
      <c r="G275" s="231">
        <f t="shared" si="189"/>
        <v>0</v>
      </c>
      <c r="H275" s="231">
        <f t="shared" si="190"/>
        <v>0</v>
      </c>
      <c r="I275" s="268">
        <f t="shared" si="221"/>
        <v>0</v>
      </c>
      <c r="J275" s="269">
        <f t="shared" si="191"/>
        <v>0</v>
      </c>
      <c r="K275" s="269">
        <f t="shared" si="192"/>
        <v>0</v>
      </c>
      <c r="L275" s="269">
        <f t="shared" si="222"/>
        <v>0</v>
      </c>
      <c r="M275" s="269">
        <f t="shared" si="223"/>
        <v>0</v>
      </c>
      <c r="N275" s="233">
        <f>VLOOKUP(B275,Dados!$L$86:$P$90,5)</f>
        <v>0</v>
      </c>
      <c r="O275" s="270">
        <f t="shared" si="193"/>
        <v>0.99999999999999989</v>
      </c>
      <c r="P275" s="269">
        <f t="shared" si="194"/>
        <v>0</v>
      </c>
      <c r="Q275" s="269" t="e">
        <f t="shared" si="195"/>
        <v>#DIV/0!</v>
      </c>
      <c r="R275" s="269">
        <f t="shared" si="196"/>
        <v>0</v>
      </c>
      <c r="S275" s="269" t="e">
        <f t="shared" si="197"/>
        <v>#DIV/0!</v>
      </c>
      <c r="T275" s="269" t="e">
        <f t="shared" si="229"/>
        <v>#DIV/0!</v>
      </c>
      <c r="U275" s="234">
        <f t="shared" si="198"/>
        <v>0</v>
      </c>
      <c r="V275" s="232" t="e">
        <f t="shared" si="199"/>
        <v>#DIV/0!</v>
      </c>
      <c r="W275" s="269" t="e">
        <f t="shared" si="200"/>
        <v>#DIV/0!</v>
      </c>
      <c r="X275" s="235">
        <f t="shared" si="224"/>
        <v>0</v>
      </c>
      <c r="Y275" s="236">
        <f t="shared" si="201"/>
        <v>5</v>
      </c>
      <c r="Z275" s="236" t="e">
        <f t="shared" si="202"/>
        <v>#DIV/0!</v>
      </c>
      <c r="AA275" s="236">
        <f t="shared" si="203"/>
        <v>3</v>
      </c>
      <c r="AB275" s="236" t="e">
        <f t="shared" si="204"/>
        <v>#DIV/0!</v>
      </c>
      <c r="AC275" s="235">
        <f t="shared" si="205"/>
        <v>0</v>
      </c>
      <c r="AD275" s="235">
        <f t="shared" si="206"/>
        <v>0</v>
      </c>
      <c r="AE275" s="279">
        <f t="shared" si="207"/>
        <v>0</v>
      </c>
      <c r="AF275" s="232">
        <f t="shared" si="208"/>
        <v>0</v>
      </c>
      <c r="AG275" s="235">
        <f t="shared" si="209"/>
        <v>0</v>
      </c>
      <c r="AH275" s="269">
        <f t="shared" si="210"/>
        <v>0</v>
      </c>
      <c r="AI275" s="232">
        <f t="shared" si="211"/>
        <v>0</v>
      </c>
      <c r="AJ275" s="235">
        <f t="shared" si="212"/>
        <v>0</v>
      </c>
      <c r="AK275" s="269">
        <f t="shared" si="213"/>
        <v>0</v>
      </c>
      <c r="AL275" s="269">
        <f t="shared" si="225"/>
        <v>0</v>
      </c>
      <c r="AM275" s="281" t="e">
        <f>IF(B275&gt;=mpfo,pos*vvm*Dados!$E$122*(ntudv-SUM(U276:$U$301))-SUM($AM$13:AM274),0)</f>
        <v>#DIV/0!</v>
      </c>
      <c r="AN275" s="269" t="e">
        <f t="shared" si="214"/>
        <v>#DIV/0!</v>
      </c>
      <c r="AO275" s="232" t="e">
        <f t="shared" si="215"/>
        <v>#DIV/0!</v>
      </c>
      <c r="AP275" s="242" t="e">
        <f t="shared" si="216"/>
        <v>#DIV/0!</v>
      </c>
      <c r="AQ275" s="235" t="e">
        <f>IF(AP275+SUM($AQ$12:AQ274)&gt;=0,0,-AP275-SUM($AQ$12:AQ274))</f>
        <v>#DIV/0!</v>
      </c>
      <c r="AR275" s="235">
        <f>IF(SUM($N$13:N274)&gt;=pmo,IF(SUM(N274:$N$501)&gt;(1-pmo),B275,0),0)</f>
        <v>0</v>
      </c>
      <c r="AS275" s="235" t="e">
        <f>IF((SUM($U$13:$U274)/ntudv)&gt;=pmv,IF((SUM($U274:$U$501)/ntudv)&gt;(1-pmv),B275,0),0)</f>
        <v>#DIV/0!</v>
      </c>
      <c r="AT275" s="237" t="e">
        <f>IF(MAX(mmo,mmv)=mmo,IF(B275=AR275,(SUM(N$13:$N274)-pmo)/((1-VLOOKUP(MAX(mmo,mmv)-1,$B$13:$O$501,14))+(VLOOKUP(MAX(mmo,mmv)-1,$B$13:$O$501,14)-pmo)),N274/((1-VLOOKUP(MAX(mmo,mmv)-1,$B$13:$O$501,14)+(VLOOKUP(MAX(mmo,mmv)-1,$B$13:$O$501,14)-pmo)))),N274/(1-VLOOKUP(MAX(mmo,mmv)-2,$B$13:$O$501,14)))</f>
        <v>#DIV/0!</v>
      </c>
      <c r="AU275" s="101" t="e">
        <f t="shared" si="226"/>
        <v>#DIV/0!</v>
      </c>
      <c r="AV275" s="287" t="e">
        <f t="shared" si="227"/>
        <v>#DIV/0!</v>
      </c>
      <c r="AW275" s="235" t="e">
        <f t="shared" si="217"/>
        <v>#DIV/0!</v>
      </c>
      <c r="AX275" s="281">
        <f>IF(B275&gt;mpfo,0,IF(B275=mpfo,(vld-teo*(1+tcfo-incc)^(MAX(mmo,mmv)-mbfo))*-1,IF(SUM($N$13:N274)&gt;=pmo,IF(($V274/ntudv)&gt;=pmv,IF(B275=MAX(mmo,mmv),-teo*(1+tcfo-incc)^(B275-mbfo),0),0),0)))</f>
        <v>0</v>
      </c>
      <c r="AY275" s="292" t="e">
        <f t="shared" si="228"/>
        <v>#DIV/0!</v>
      </c>
      <c r="AZ275" s="235" t="e">
        <f t="shared" si="218"/>
        <v>#DIV/0!</v>
      </c>
      <c r="BA275" s="269" t="e">
        <f t="shared" si="219"/>
        <v>#DIV/0!</v>
      </c>
      <c r="BB275" s="292" t="e">
        <f t="shared" si="220"/>
        <v>#DIV/0!</v>
      </c>
      <c r="BC275" s="238" t="e">
        <f>IF(SUM($BC$13:BC274)&gt;0,0,IF(BB275&gt;0,B275,0))</f>
        <v>#DIV/0!</v>
      </c>
      <c r="BD275" s="292" t="e">
        <f>IF(BB275+SUM($BD$12:BD274)&gt;=0,0,-BB275-SUM($BD$12:BD274))</f>
        <v>#DIV/0!</v>
      </c>
      <c r="BE275" s="235" t="e">
        <f>BB275+SUM($BD$12:BD275)</f>
        <v>#DIV/0!</v>
      </c>
      <c r="BF275" s="292" t="e">
        <f>-MIN(BE275:$BE$501)-SUM(BF$12:$BF274)</f>
        <v>#DIV/0!</v>
      </c>
      <c r="BG275" s="235" t="e">
        <f t="shared" si="231"/>
        <v>#DIV/0!</v>
      </c>
    </row>
    <row r="276" spans="2:59">
      <c r="B276" s="246">
        <v>263</v>
      </c>
      <c r="C276" s="241">
        <f t="shared" si="230"/>
        <v>50683</v>
      </c>
      <c r="D276" s="229">
        <f t="shared" si="186"/>
        <v>10</v>
      </c>
      <c r="E276" s="230" t="str">
        <f t="shared" si="187"/>
        <v>-</v>
      </c>
      <c r="F276" s="231">
        <f t="shared" si="188"/>
        <v>0</v>
      </c>
      <c r="G276" s="231">
        <f t="shared" si="189"/>
        <v>0</v>
      </c>
      <c r="H276" s="231">
        <f t="shared" si="190"/>
        <v>0</v>
      </c>
      <c r="I276" s="268">
        <f t="shared" si="221"/>
        <v>0</v>
      </c>
      <c r="J276" s="269">
        <f t="shared" si="191"/>
        <v>0</v>
      </c>
      <c r="K276" s="269">
        <f t="shared" si="192"/>
        <v>0</v>
      </c>
      <c r="L276" s="269">
        <f t="shared" si="222"/>
        <v>0</v>
      </c>
      <c r="M276" s="269">
        <f t="shared" si="223"/>
        <v>0</v>
      </c>
      <c r="N276" s="233">
        <f>VLOOKUP(B276,Dados!$L$86:$P$90,5)</f>
        <v>0</v>
      </c>
      <c r="O276" s="270">
        <f t="shared" si="193"/>
        <v>0.99999999999999989</v>
      </c>
      <c r="P276" s="269">
        <f t="shared" si="194"/>
        <v>0</v>
      </c>
      <c r="Q276" s="269" t="e">
        <f t="shared" si="195"/>
        <v>#DIV/0!</v>
      </c>
      <c r="R276" s="269">
        <f t="shared" si="196"/>
        <v>0</v>
      </c>
      <c r="S276" s="269" t="e">
        <f t="shared" si="197"/>
        <v>#DIV/0!</v>
      </c>
      <c r="T276" s="269" t="e">
        <f t="shared" si="229"/>
        <v>#DIV/0!</v>
      </c>
      <c r="U276" s="234">
        <f t="shared" si="198"/>
        <v>0</v>
      </c>
      <c r="V276" s="232" t="e">
        <f t="shared" si="199"/>
        <v>#DIV/0!</v>
      </c>
      <c r="W276" s="269" t="e">
        <f t="shared" si="200"/>
        <v>#DIV/0!</v>
      </c>
      <c r="X276" s="235">
        <f t="shared" si="224"/>
        <v>0</v>
      </c>
      <c r="Y276" s="236">
        <f t="shared" si="201"/>
        <v>5</v>
      </c>
      <c r="Z276" s="236" t="e">
        <f t="shared" si="202"/>
        <v>#DIV/0!</v>
      </c>
      <c r="AA276" s="236">
        <f t="shared" si="203"/>
        <v>3</v>
      </c>
      <c r="AB276" s="236" t="e">
        <f t="shared" si="204"/>
        <v>#DIV/0!</v>
      </c>
      <c r="AC276" s="235">
        <f t="shared" si="205"/>
        <v>0</v>
      </c>
      <c r="AD276" s="235">
        <f t="shared" si="206"/>
        <v>0</v>
      </c>
      <c r="AE276" s="279">
        <f t="shared" si="207"/>
        <v>0</v>
      </c>
      <c r="AF276" s="232">
        <f t="shared" si="208"/>
        <v>0</v>
      </c>
      <c r="AG276" s="235">
        <f t="shared" si="209"/>
        <v>0</v>
      </c>
      <c r="AH276" s="269">
        <f t="shared" si="210"/>
        <v>0</v>
      </c>
      <c r="AI276" s="232">
        <f t="shared" si="211"/>
        <v>0</v>
      </c>
      <c r="AJ276" s="235">
        <f t="shared" si="212"/>
        <v>0</v>
      </c>
      <c r="AK276" s="269">
        <f t="shared" si="213"/>
        <v>0</v>
      </c>
      <c r="AL276" s="269">
        <f t="shared" si="225"/>
        <v>0</v>
      </c>
      <c r="AM276" s="281" t="e">
        <f>IF(B276&gt;=mpfo,pos*vvm*Dados!$E$122*(ntudv-SUM(U277:$U$301))-SUM($AM$13:AM275),0)</f>
        <v>#DIV/0!</v>
      </c>
      <c r="AN276" s="269" t="e">
        <f t="shared" si="214"/>
        <v>#DIV/0!</v>
      </c>
      <c r="AO276" s="232" t="e">
        <f t="shared" si="215"/>
        <v>#DIV/0!</v>
      </c>
      <c r="AP276" s="242" t="e">
        <f t="shared" si="216"/>
        <v>#DIV/0!</v>
      </c>
      <c r="AQ276" s="235" t="e">
        <f>IF(AP276+SUM($AQ$12:AQ275)&gt;=0,0,-AP276-SUM($AQ$12:AQ275))</f>
        <v>#DIV/0!</v>
      </c>
      <c r="AR276" s="235">
        <f>IF(SUM($N$13:N275)&gt;=pmo,IF(SUM(N275:$N$501)&gt;(1-pmo),B276,0),0)</f>
        <v>0</v>
      </c>
      <c r="AS276" s="235" t="e">
        <f>IF((SUM($U$13:$U275)/ntudv)&gt;=pmv,IF((SUM($U275:$U$501)/ntudv)&gt;(1-pmv),B276,0),0)</f>
        <v>#DIV/0!</v>
      </c>
      <c r="AT276" s="237" t="e">
        <f>IF(MAX(mmo,mmv)=mmo,IF(B276=AR276,(SUM(N$13:$N275)-pmo)/((1-VLOOKUP(MAX(mmo,mmv)-1,$B$13:$O$501,14))+(VLOOKUP(MAX(mmo,mmv)-1,$B$13:$O$501,14)-pmo)),N275/((1-VLOOKUP(MAX(mmo,mmv)-1,$B$13:$O$501,14)+(VLOOKUP(MAX(mmo,mmv)-1,$B$13:$O$501,14)-pmo)))),N275/(1-VLOOKUP(MAX(mmo,mmv)-2,$B$13:$O$501,14)))</f>
        <v>#DIV/0!</v>
      </c>
      <c r="AU276" s="101" t="e">
        <f t="shared" si="226"/>
        <v>#DIV/0!</v>
      </c>
      <c r="AV276" s="287" t="e">
        <f t="shared" si="227"/>
        <v>#DIV/0!</v>
      </c>
      <c r="AW276" s="235" t="e">
        <f t="shared" si="217"/>
        <v>#DIV/0!</v>
      </c>
      <c r="AX276" s="281">
        <f>IF(B276&gt;mpfo,0,IF(B276=mpfo,(vld-teo*(1+tcfo-incc)^(MAX(mmo,mmv)-mbfo))*-1,IF(SUM($N$13:N275)&gt;=pmo,IF(($V275/ntudv)&gt;=pmv,IF(B276=MAX(mmo,mmv),-teo*(1+tcfo-incc)^(B276-mbfo),0),0),0)))</f>
        <v>0</v>
      </c>
      <c r="AY276" s="292" t="e">
        <f t="shared" si="228"/>
        <v>#DIV/0!</v>
      </c>
      <c r="AZ276" s="235" t="e">
        <f t="shared" si="218"/>
        <v>#DIV/0!</v>
      </c>
      <c r="BA276" s="269" t="e">
        <f t="shared" si="219"/>
        <v>#DIV/0!</v>
      </c>
      <c r="BB276" s="292" t="e">
        <f t="shared" si="220"/>
        <v>#DIV/0!</v>
      </c>
      <c r="BC276" s="238" t="e">
        <f>IF(SUM($BC$13:BC275)&gt;0,0,IF(BB276&gt;0,B276,0))</f>
        <v>#DIV/0!</v>
      </c>
      <c r="BD276" s="292" t="e">
        <f>IF(BB276+SUM($BD$12:BD275)&gt;=0,0,-BB276-SUM($BD$12:BD275))</f>
        <v>#DIV/0!</v>
      </c>
      <c r="BE276" s="235" t="e">
        <f>BB276+SUM($BD$12:BD276)</f>
        <v>#DIV/0!</v>
      </c>
      <c r="BF276" s="292" t="e">
        <f>-MIN(BE276:$BE$501)-SUM(BF$12:$BF275)</f>
        <v>#DIV/0!</v>
      </c>
      <c r="BG276" s="235" t="e">
        <f t="shared" si="231"/>
        <v>#DIV/0!</v>
      </c>
    </row>
    <row r="277" spans="2:59">
      <c r="B277" s="120">
        <v>264</v>
      </c>
      <c r="C277" s="241">
        <f t="shared" si="230"/>
        <v>50714</v>
      </c>
      <c r="D277" s="229">
        <f t="shared" si="186"/>
        <v>11</v>
      </c>
      <c r="E277" s="230" t="str">
        <f t="shared" si="187"/>
        <v>-</v>
      </c>
      <c r="F277" s="231">
        <f t="shared" si="188"/>
        <v>0</v>
      </c>
      <c r="G277" s="231">
        <f t="shared" si="189"/>
        <v>0</v>
      </c>
      <c r="H277" s="231">
        <f t="shared" si="190"/>
        <v>0</v>
      </c>
      <c r="I277" s="268">
        <f t="shared" si="221"/>
        <v>0</v>
      </c>
      <c r="J277" s="269">
        <f t="shared" si="191"/>
        <v>0</v>
      </c>
      <c r="K277" s="269">
        <f t="shared" si="192"/>
        <v>0</v>
      </c>
      <c r="L277" s="269">
        <f t="shared" si="222"/>
        <v>0</v>
      </c>
      <c r="M277" s="269">
        <f t="shared" si="223"/>
        <v>0</v>
      </c>
      <c r="N277" s="233">
        <f>VLOOKUP(B277,Dados!$L$86:$P$90,5)</f>
        <v>0</v>
      </c>
      <c r="O277" s="270">
        <f t="shared" si="193"/>
        <v>0.99999999999999989</v>
      </c>
      <c r="P277" s="269">
        <f t="shared" si="194"/>
        <v>0</v>
      </c>
      <c r="Q277" s="269" t="e">
        <f t="shared" si="195"/>
        <v>#DIV/0!</v>
      </c>
      <c r="R277" s="269">
        <f t="shared" si="196"/>
        <v>0</v>
      </c>
      <c r="S277" s="269" t="e">
        <f t="shared" si="197"/>
        <v>#DIV/0!</v>
      </c>
      <c r="T277" s="269" t="e">
        <f t="shared" si="229"/>
        <v>#DIV/0!</v>
      </c>
      <c r="U277" s="234">
        <f t="shared" si="198"/>
        <v>0</v>
      </c>
      <c r="V277" s="232" t="e">
        <f t="shared" si="199"/>
        <v>#DIV/0!</v>
      </c>
      <c r="W277" s="269" t="e">
        <f t="shared" si="200"/>
        <v>#DIV/0!</v>
      </c>
      <c r="X277" s="235">
        <f t="shared" si="224"/>
        <v>0</v>
      </c>
      <c r="Y277" s="236">
        <f t="shared" si="201"/>
        <v>5</v>
      </c>
      <c r="Z277" s="236" t="e">
        <f t="shared" si="202"/>
        <v>#DIV/0!</v>
      </c>
      <c r="AA277" s="236">
        <f t="shared" si="203"/>
        <v>3</v>
      </c>
      <c r="AB277" s="236" t="e">
        <f t="shared" si="204"/>
        <v>#DIV/0!</v>
      </c>
      <c r="AC277" s="235">
        <f t="shared" si="205"/>
        <v>0</v>
      </c>
      <c r="AD277" s="235">
        <f t="shared" si="206"/>
        <v>0</v>
      </c>
      <c r="AE277" s="279">
        <f t="shared" si="207"/>
        <v>0</v>
      </c>
      <c r="AF277" s="232">
        <f t="shared" si="208"/>
        <v>0</v>
      </c>
      <c r="AG277" s="235">
        <f t="shared" si="209"/>
        <v>0</v>
      </c>
      <c r="AH277" s="269">
        <f t="shared" si="210"/>
        <v>0</v>
      </c>
      <c r="AI277" s="232">
        <f t="shared" si="211"/>
        <v>0</v>
      </c>
      <c r="AJ277" s="235">
        <f t="shared" si="212"/>
        <v>0</v>
      </c>
      <c r="AK277" s="269">
        <f t="shared" si="213"/>
        <v>0</v>
      </c>
      <c r="AL277" s="269">
        <f t="shared" si="225"/>
        <v>0</v>
      </c>
      <c r="AM277" s="281" t="e">
        <f>IF(B277&gt;=mpfo,pos*vvm*Dados!$E$122*(ntudv-SUM(U278:$U$301))-SUM($AM$13:AM276),0)</f>
        <v>#DIV/0!</v>
      </c>
      <c r="AN277" s="269" t="e">
        <f t="shared" si="214"/>
        <v>#DIV/0!</v>
      </c>
      <c r="AO277" s="232" t="e">
        <f t="shared" si="215"/>
        <v>#DIV/0!</v>
      </c>
      <c r="AP277" s="242" t="e">
        <f t="shared" si="216"/>
        <v>#DIV/0!</v>
      </c>
      <c r="AQ277" s="235" t="e">
        <f>IF(AP277+SUM($AQ$12:AQ276)&gt;=0,0,-AP277-SUM($AQ$12:AQ276))</f>
        <v>#DIV/0!</v>
      </c>
      <c r="AR277" s="235">
        <f>IF(SUM($N$13:N276)&gt;=pmo,IF(SUM(N276:$N$501)&gt;(1-pmo),B277,0),0)</f>
        <v>0</v>
      </c>
      <c r="AS277" s="235" t="e">
        <f>IF((SUM($U$13:$U276)/ntudv)&gt;=pmv,IF((SUM($U276:$U$501)/ntudv)&gt;(1-pmv),B277,0),0)</f>
        <v>#DIV/0!</v>
      </c>
      <c r="AT277" s="237" t="e">
        <f>IF(MAX(mmo,mmv)=mmo,IF(B277=AR277,(SUM(N$13:$N276)-pmo)/((1-VLOOKUP(MAX(mmo,mmv)-1,$B$13:$O$501,14))+(VLOOKUP(MAX(mmo,mmv)-1,$B$13:$O$501,14)-pmo)),N276/((1-VLOOKUP(MAX(mmo,mmv)-1,$B$13:$O$501,14)+(VLOOKUP(MAX(mmo,mmv)-1,$B$13:$O$501,14)-pmo)))),N276/(1-VLOOKUP(MAX(mmo,mmv)-2,$B$13:$O$501,14)))</f>
        <v>#DIV/0!</v>
      </c>
      <c r="AU277" s="101" t="e">
        <f t="shared" si="226"/>
        <v>#DIV/0!</v>
      </c>
      <c r="AV277" s="287" t="e">
        <f t="shared" si="227"/>
        <v>#DIV/0!</v>
      </c>
      <c r="AW277" s="235" t="e">
        <f t="shared" si="217"/>
        <v>#DIV/0!</v>
      </c>
      <c r="AX277" s="281">
        <f>IF(B277&gt;mpfo,0,IF(B277=mpfo,(vld-teo*(1+tcfo-incc)^(MAX(mmo,mmv)-mbfo))*-1,IF(SUM($N$13:N276)&gt;=pmo,IF(($V276/ntudv)&gt;=pmv,IF(B277=MAX(mmo,mmv),-teo*(1+tcfo-incc)^(B277-mbfo),0),0),0)))</f>
        <v>0</v>
      </c>
      <c r="AY277" s="292" t="e">
        <f t="shared" si="228"/>
        <v>#DIV/0!</v>
      </c>
      <c r="AZ277" s="235" t="e">
        <f t="shared" si="218"/>
        <v>#DIV/0!</v>
      </c>
      <c r="BA277" s="269" t="e">
        <f t="shared" si="219"/>
        <v>#DIV/0!</v>
      </c>
      <c r="BB277" s="292" t="e">
        <f t="shared" si="220"/>
        <v>#DIV/0!</v>
      </c>
      <c r="BC277" s="238" t="e">
        <f>IF(SUM($BC$13:BC276)&gt;0,0,IF(BB277&gt;0,B277,0))</f>
        <v>#DIV/0!</v>
      </c>
      <c r="BD277" s="292" t="e">
        <f>IF(BB277+SUM($BD$12:BD276)&gt;=0,0,-BB277-SUM($BD$12:BD276))</f>
        <v>#DIV/0!</v>
      </c>
      <c r="BE277" s="235" t="e">
        <f>BB277+SUM($BD$12:BD277)</f>
        <v>#DIV/0!</v>
      </c>
      <c r="BF277" s="292" t="e">
        <f>-MIN(BE277:$BE$501)-SUM(BF$12:$BF276)</f>
        <v>#DIV/0!</v>
      </c>
      <c r="BG277" s="235" t="e">
        <f t="shared" si="231"/>
        <v>#DIV/0!</v>
      </c>
    </row>
    <row r="278" spans="2:59">
      <c r="B278" s="246">
        <v>265</v>
      </c>
      <c r="C278" s="241">
        <f t="shared" si="230"/>
        <v>50744</v>
      </c>
      <c r="D278" s="229">
        <f t="shared" si="186"/>
        <v>12</v>
      </c>
      <c r="E278" s="230" t="str">
        <f t="shared" si="187"/>
        <v>-</v>
      </c>
      <c r="F278" s="231">
        <f t="shared" si="188"/>
        <v>0</v>
      </c>
      <c r="G278" s="231">
        <f t="shared" si="189"/>
        <v>0</v>
      </c>
      <c r="H278" s="231">
        <f t="shared" si="190"/>
        <v>0</v>
      </c>
      <c r="I278" s="268">
        <f t="shared" si="221"/>
        <v>0</v>
      </c>
      <c r="J278" s="269">
        <f t="shared" si="191"/>
        <v>0</v>
      </c>
      <c r="K278" s="269">
        <f t="shared" si="192"/>
        <v>0</v>
      </c>
      <c r="L278" s="269">
        <f t="shared" si="222"/>
        <v>0</v>
      </c>
      <c r="M278" s="269">
        <f t="shared" si="223"/>
        <v>0</v>
      </c>
      <c r="N278" s="233">
        <f>VLOOKUP(B278,Dados!$L$86:$P$90,5)</f>
        <v>0</v>
      </c>
      <c r="O278" s="270">
        <f t="shared" si="193"/>
        <v>0.99999999999999989</v>
      </c>
      <c r="P278" s="269">
        <f t="shared" si="194"/>
        <v>0</v>
      </c>
      <c r="Q278" s="269" t="e">
        <f t="shared" si="195"/>
        <v>#DIV/0!</v>
      </c>
      <c r="R278" s="269">
        <f t="shared" si="196"/>
        <v>0</v>
      </c>
      <c r="S278" s="269" t="e">
        <f t="shared" si="197"/>
        <v>#DIV/0!</v>
      </c>
      <c r="T278" s="269" t="e">
        <f t="shared" si="229"/>
        <v>#DIV/0!</v>
      </c>
      <c r="U278" s="234">
        <f t="shared" si="198"/>
        <v>0</v>
      </c>
      <c r="V278" s="232" t="e">
        <f t="shared" si="199"/>
        <v>#DIV/0!</v>
      </c>
      <c r="W278" s="269" t="e">
        <f t="shared" si="200"/>
        <v>#DIV/0!</v>
      </c>
      <c r="X278" s="235">
        <f t="shared" si="224"/>
        <v>0</v>
      </c>
      <c r="Y278" s="236">
        <f t="shared" si="201"/>
        <v>5</v>
      </c>
      <c r="Z278" s="236" t="e">
        <f t="shared" si="202"/>
        <v>#DIV/0!</v>
      </c>
      <c r="AA278" s="236">
        <f t="shared" si="203"/>
        <v>3</v>
      </c>
      <c r="AB278" s="236" t="e">
        <f t="shared" si="204"/>
        <v>#DIV/0!</v>
      </c>
      <c r="AC278" s="235">
        <f t="shared" si="205"/>
        <v>0</v>
      </c>
      <c r="AD278" s="235">
        <f t="shared" si="206"/>
        <v>0</v>
      </c>
      <c r="AE278" s="279">
        <f t="shared" si="207"/>
        <v>0</v>
      </c>
      <c r="AF278" s="232">
        <f t="shared" si="208"/>
        <v>1</v>
      </c>
      <c r="AG278" s="235">
        <f t="shared" si="209"/>
        <v>0</v>
      </c>
      <c r="AH278" s="269">
        <f t="shared" si="210"/>
        <v>0</v>
      </c>
      <c r="AI278" s="232">
        <f t="shared" si="211"/>
        <v>1</v>
      </c>
      <c r="AJ278" s="235">
        <f t="shared" si="212"/>
        <v>0</v>
      </c>
      <c r="AK278" s="269">
        <f t="shared" si="213"/>
        <v>0</v>
      </c>
      <c r="AL278" s="269">
        <f t="shared" si="225"/>
        <v>0</v>
      </c>
      <c r="AM278" s="281" t="e">
        <f>IF(B278&gt;=mpfo,pos*vvm*Dados!$E$122*(ntudv-SUM(U279:$U$301))-SUM($AM$13:AM277),0)</f>
        <v>#DIV/0!</v>
      </c>
      <c r="AN278" s="269" t="e">
        <f t="shared" si="214"/>
        <v>#DIV/0!</v>
      </c>
      <c r="AO278" s="232" t="e">
        <f t="shared" si="215"/>
        <v>#DIV/0!</v>
      </c>
      <c r="AP278" s="242" t="e">
        <f t="shared" si="216"/>
        <v>#DIV/0!</v>
      </c>
      <c r="AQ278" s="235" t="e">
        <f>IF(AP278+SUM($AQ$12:AQ277)&gt;=0,0,-AP278-SUM($AQ$12:AQ277))</f>
        <v>#DIV/0!</v>
      </c>
      <c r="AR278" s="235">
        <f>IF(SUM($N$13:N277)&gt;=pmo,IF(SUM(N277:$N$501)&gt;(1-pmo),B278,0),0)</f>
        <v>0</v>
      </c>
      <c r="AS278" s="235" t="e">
        <f>IF((SUM($U$13:$U277)/ntudv)&gt;=pmv,IF((SUM($U277:$U$501)/ntudv)&gt;(1-pmv),B278,0),0)</f>
        <v>#DIV/0!</v>
      </c>
      <c r="AT278" s="237" t="e">
        <f>IF(MAX(mmo,mmv)=mmo,IF(B278=AR278,(SUM(N$13:$N277)-pmo)/((1-VLOOKUP(MAX(mmo,mmv)-1,$B$13:$O$501,14))+(VLOOKUP(MAX(mmo,mmv)-1,$B$13:$O$501,14)-pmo)),N277/((1-VLOOKUP(MAX(mmo,mmv)-1,$B$13:$O$501,14)+(VLOOKUP(MAX(mmo,mmv)-1,$B$13:$O$501,14)-pmo)))),N277/(1-VLOOKUP(MAX(mmo,mmv)-2,$B$13:$O$501,14)))</f>
        <v>#DIV/0!</v>
      </c>
      <c r="AU278" s="101" t="e">
        <f t="shared" si="226"/>
        <v>#DIV/0!</v>
      </c>
      <c r="AV278" s="287" t="e">
        <f t="shared" si="227"/>
        <v>#DIV/0!</v>
      </c>
      <c r="AW278" s="235" t="e">
        <f t="shared" si="217"/>
        <v>#DIV/0!</v>
      </c>
      <c r="AX278" s="281">
        <f>IF(B278&gt;mpfo,0,IF(B278=mpfo,(vld-teo*(1+tcfo-incc)^(MAX(mmo,mmv)-mbfo))*-1,IF(SUM($N$13:N277)&gt;=pmo,IF(($V277/ntudv)&gt;=pmv,IF(B278=MAX(mmo,mmv),-teo*(1+tcfo-incc)^(B278-mbfo),0),0),0)))</f>
        <v>0</v>
      </c>
      <c r="AY278" s="292" t="e">
        <f t="shared" si="228"/>
        <v>#DIV/0!</v>
      </c>
      <c r="AZ278" s="235" t="e">
        <f t="shared" si="218"/>
        <v>#DIV/0!</v>
      </c>
      <c r="BA278" s="269" t="e">
        <f t="shared" si="219"/>
        <v>#DIV/0!</v>
      </c>
      <c r="BB278" s="292" t="e">
        <f t="shared" si="220"/>
        <v>#DIV/0!</v>
      </c>
      <c r="BC278" s="238" t="e">
        <f>IF(SUM($BC$13:BC277)&gt;0,0,IF(BB278&gt;0,B278,0))</f>
        <v>#DIV/0!</v>
      </c>
      <c r="BD278" s="292" t="e">
        <f>IF(BB278+SUM($BD$12:BD277)&gt;=0,0,-BB278-SUM($BD$12:BD277))</f>
        <v>#DIV/0!</v>
      </c>
      <c r="BE278" s="235" t="e">
        <f>BB278+SUM($BD$12:BD278)</f>
        <v>#DIV/0!</v>
      </c>
      <c r="BF278" s="292" t="e">
        <f>-MIN(BE278:$BE$501)-SUM(BF$12:$BF277)</f>
        <v>#DIV/0!</v>
      </c>
      <c r="BG278" s="235" t="e">
        <f t="shared" si="231"/>
        <v>#DIV/0!</v>
      </c>
    </row>
    <row r="279" spans="2:59">
      <c r="B279" s="120">
        <v>266</v>
      </c>
      <c r="C279" s="241">
        <f t="shared" si="230"/>
        <v>50775</v>
      </c>
      <c r="D279" s="229">
        <f t="shared" si="186"/>
        <v>1</v>
      </c>
      <c r="E279" s="230" t="str">
        <f t="shared" si="187"/>
        <v>-</v>
      </c>
      <c r="F279" s="231">
        <f t="shared" si="188"/>
        <v>0</v>
      </c>
      <c r="G279" s="231">
        <f t="shared" si="189"/>
        <v>0</v>
      </c>
      <c r="H279" s="231">
        <f t="shared" si="190"/>
        <v>0</v>
      </c>
      <c r="I279" s="268">
        <f t="shared" si="221"/>
        <v>0</v>
      </c>
      <c r="J279" s="269">
        <f t="shared" si="191"/>
        <v>0</v>
      </c>
      <c r="K279" s="269">
        <f t="shared" si="192"/>
        <v>0</v>
      </c>
      <c r="L279" s="269">
        <f t="shared" si="222"/>
        <v>0</v>
      </c>
      <c r="M279" s="269">
        <f t="shared" si="223"/>
        <v>0</v>
      </c>
      <c r="N279" s="233">
        <f>VLOOKUP(B279,Dados!$L$86:$P$90,5)</f>
        <v>0</v>
      </c>
      <c r="O279" s="270">
        <f t="shared" si="193"/>
        <v>0.99999999999999989</v>
      </c>
      <c r="P279" s="269">
        <f t="shared" si="194"/>
        <v>0</v>
      </c>
      <c r="Q279" s="269" t="e">
        <f t="shared" si="195"/>
        <v>#DIV/0!</v>
      </c>
      <c r="R279" s="269">
        <f t="shared" si="196"/>
        <v>0</v>
      </c>
      <c r="S279" s="269" t="e">
        <f t="shared" si="197"/>
        <v>#DIV/0!</v>
      </c>
      <c r="T279" s="269" t="e">
        <f t="shared" si="229"/>
        <v>#DIV/0!</v>
      </c>
      <c r="U279" s="234">
        <f t="shared" si="198"/>
        <v>0</v>
      </c>
      <c r="V279" s="232" t="e">
        <f t="shared" si="199"/>
        <v>#DIV/0!</v>
      </c>
      <c r="W279" s="269" t="e">
        <f t="shared" si="200"/>
        <v>#DIV/0!</v>
      </c>
      <c r="X279" s="235">
        <f t="shared" si="224"/>
        <v>0</v>
      </c>
      <c r="Y279" s="236">
        <f t="shared" si="201"/>
        <v>5</v>
      </c>
      <c r="Z279" s="236" t="e">
        <f t="shared" si="202"/>
        <v>#DIV/0!</v>
      </c>
      <c r="AA279" s="236">
        <f t="shared" si="203"/>
        <v>3</v>
      </c>
      <c r="AB279" s="236" t="e">
        <f t="shared" si="204"/>
        <v>#DIV/0!</v>
      </c>
      <c r="AC279" s="235">
        <f t="shared" si="205"/>
        <v>0</v>
      </c>
      <c r="AD279" s="235">
        <f t="shared" si="206"/>
        <v>0</v>
      </c>
      <c r="AE279" s="279">
        <f t="shared" si="207"/>
        <v>0</v>
      </c>
      <c r="AF279" s="232">
        <f t="shared" si="208"/>
        <v>0</v>
      </c>
      <c r="AG279" s="235">
        <f t="shared" si="209"/>
        <v>0</v>
      </c>
      <c r="AH279" s="269">
        <f t="shared" si="210"/>
        <v>0</v>
      </c>
      <c r="AI279" s="232">
        <f t="shared" si="211"/>
        <v>0</v>
      </c>
      <c r="AJ279" s="235">
        <f t="shared" si="212"/>
        <v>0</v>
      </c>
      <c r="AK279" s="269">
        <f t="shared" si="213"/>
        <v>0</v>
      </c>
      <c r="AL279" s="269">
        <f t="shared" si="225"/>
        <v>0</v>
      </c>
      <c r="AM279" s="281" t="e">
        <f>IF(B279&gt;=mpfo,pos*vvm*Dados!$E$122*(ntudv-SUM(U280:$U$301))-SUM($AM$13:AM278),0)</f>
        <v>#DIV/0!</v>
      </c>
      <c r="AN279" s="269" t="e">
        <f t="shared" si="214"/>
        <v>#DIV/0!</v>
      </c>
      <c r="AO279" s="232" t="e">
        <f t="shared" si="215"/>
        <v>#DIV/0!</v>
      </c>
      <c r="AP279" s="242" t="e">
        <f t="shared" si="216"/>
        <v>#DIV/0!</v>
      </c>
      <c r="AQ279" s="235" t="e">
        <f>IF(AP279+SUM($AQ$12:AQ278)&gt;=0,0,-AP279-SUM($AQ$12:AQ278))</f>
        <v>#DIV/0!</v>
      </c>
      <c r="AR279" s="235">
        <f>IF(SUM($N$13:N278)&gt;=pmo,IF(SUM(N278:$N$501)&gt;(1-pmo),B279,0),0)</f>
        <v>0</v>
      </c>
      <c r="AS279" s="235" t="e">
        <f>IF((SUM($U$13:$U278)/ntudv)&gt;=pmv,IF((SUM($U278:$U$501)/ntudv)&gt;(1-pmv),B279,0),0)</f>
        <v>#DIV/0!</v>
      </c>
      <c r="AT279" s="237" t="e">
        <f>IF(MAX(mmo,mmv)=mmo,IF(B279=AR279,(SUM(N$13:$N278)-pmo)/((1-VLOOKUP(MAX(mmo,mmv)-1,$B$13:$O$501,14))+(VLOOKUP(MAX(mmo,mmv)-1,$B$13:$O$501,14)-pmo)),N278/((1-VLOOKUP(MAX(mmo,mmv)-1,$B$13:$O$501,14)+(VLOOKUP(MAX(mmo,mmv)-1,$B$13:$O$501,14)-pmo)))),N278/(1-VLOOKUP(MAX(mmo,mmv)-2,$B$13:$O$501,14)))</f>
        <v>#DIV/0!</v>
      </c>
      <c r="AU279" s="101" t="e">
        <f t="shared" si="226"/>
        <v>#DIV/0!</v>
      </c>
      <c r="AV279" s="287" t="e">
        <f t="shared" si="227"/>
        <v>#DIV/0!</v>
      </c>
      <c r="AW279" s="235" t="e">
        <f t="shared" si="217"/>
        <v>#DIV/0!</v>
      </c>
      <c r="AX279" s="281">
        <f>IF(B279&gt;mpfo,0,IF(B279=mpfo,(vld-teo*(1+tcfo-incc)^(MAX(mmo,mmv)-mbfo))*-1,IF(SUM($N$13:N278)&gt;=pmo,IF(($V278/ntudv)&gt;=pmv,IF(B279=MAX(mmo,mmv),-teo*(1+tcfo-incc)^(B279-mbfo),0),0),0)))</f>
        <v>0</v>
      </c>
      <c r="AY279" s="292" t="e">
        <f t="shared" si="228"/>
        <v>#DIV/0!</v>
      </c>
      <c r="AZ279" s="235" t="e">
        <f t="shared" si="218"/>
        <v>#DIV/0!</v>
      </c>
      <c r="BA279" s="269" t="e">
        <f t="shared" si="219"/>
        <v>#DIV/0!</v>
      </c>
      <c r="BB279" s="292" t="e">
        <f t="shared" si="220"/>
        <v>#DIV/0!</v>
      </c>
      <c r="BC279" s="238" t="e">
        <f>IF(SUM($BC$13:BC278)&gt;0,0,IF(BB279&gt;0,B279,0))</f>
        <v>#DIV/0!</v>
      </c>
      <c r="BD279" s="292" t="e">
        <f>IF(BB279+SUM($BD$12:BD278)&gt;=0,0,-BB279-SUM($BD$12:BD278))</f>
        <v>#DIV/0!</v>
      </c>
      <c r="BE279" s="235" t="e">
        <f>BB279+SUM($BD$12:BD279)</f>
        <v>#DIV/0!</v>
      </c>
      <c r="BF279" s="292" t="e">
        <f>-MIN(BE279:$BE$501)-SUM(BF$12:$BF278)</f>
        <v>#DIV/0!</v>
      </c>
      <c r="BG279" s="235" t="e">
        <f t="shared" si="231"/>
        <v>#DIV/0!</v>
      </c>
    </row>
    <row r="280" spans="2:59">
      <c r="B280" s="246">
        <v>267</v>
      </c>
      <c r="C280" s="241">
        <f t="shared" si="230"/>
        <v>50806</v>
      </c>
      <c r="D280" s="229">
        <f t="shared" ref="D280:D343" si="232">MONTH(C280)</f>
        <v>2</v>
      </c>
      <c r="E280" s="230" t="str">
        <f t="shared" ref="E280:E343" si="233">IF(B280=mpo,"Outorga",IF(B280=mpt,"Terreno",IF(B280=mlan,"Lançamento", IF(B280=mio,"Inic. Obras",IF(B280=mio+prazo-1,"Concl. Obras",IF(B280=mec,"Chaves", IF(B280=mpfo,"Pgto. Financ.","-")))))))</f>
        <v>-</v>
      </c>
      <c r="F280" s="231">
        <f t="shared" ref="F280:F343" si="234">IF(B280=mpo, voo,0)</f>
        <v>0</v>
      </c>
      <c r="G280" s="231">
        <f t="shared" ref="G280:G343" si="235">IF(B280&gt;(mpt+npt),0,IF(B280&lt;(mpt+npt+1),IF(B280&gt;mpt,(vtd-vst)/npt/(igpm+1)^B280,IF(B280=mpt,vst/(igpm+1)^B280,0))))</f>
        <v>0</v>
      </c>
      <c r="H280" s="231">
        <f t="shared" ref="H280:H343" si="236">IF(B280&gt;(mpt+npt),0,IF(B280&lt;(mpt+npt+1),IF(B280&gt;mpt,(vtd-vst)/npt/(delta+1)^B280,IF(B280=mpt,vst/(delta+1)^B280,0))))</f>
        <v>0</v>
      </c>
      <c r="I280" s="268">
        <f t="shared" si="221"/>
        <v>0</v>
      </c>
      <c r="J280" s="269">
        <f t="shared" ref="J280:J343" si="237">IF(B280=mpdt,dtt,0)*-1</f>
        <v>0</v>
      </c>
      <c r="K280" s="269">
        <f t="shared" ref="K280:K343" si="238">IF(B280&gt;mdji+npdji,0,IF(B280&lt;mdji+npdji,IF(B280&gt;=mdji,dji*vgv/npdji,0),0))*-1</f>
        <v>0</v>
      </c>
      <c r="L280" s="269">
        <f t="shared" si="222"/>
        <v>0</v>
      </c>
      <c r="M280" s="269">
        <f t="shared" si="223"/>
        <v>0</v>
      </c>
      <c r="N280" s="233">
        <f>VLOOKUP(B280,Dados!$L$86:$P$90,5)</f>
        <v>0</v>
      </c>
      <c r="O280" s="270">
        <f t="shared" ref="O280:O343" si="239">N280+O279</f>
        <v>0.99999999999999989</v>
      </c>
      <c r="P280" s="269">
        <f t="shared" ref="P280:P343" si="240">N280*cto*-1</f>
        <v>0</v>
      </c>
      <c r="Q280" s="269" t="e">
        <f t="shared" ref="Q280:Q343" si="241">AN280*pimp*-1</f>
        <v>#DIV/0!</v>
      </c>
      <c r="R280" s="269">
        <f t="shared" ref="R280:R343" si="242">IF(B280&gt;=1,IF(B280&lt;=(mec+6),padm*vgv/(mec+6),0),0)*-1</f>
        <v>0</v>
      </c>
      <c r="S280" s="269" t="e">
        <f t="shared" ref="S280:S343" si="243">U280*vvm*pcorr*-1</f>
        <v>#DIV/0!</v>
      </c>
      <c r="T280" s="269" t="e">
        <f t="shared" si="229"/>
        <v>#DIV/0!</v>
      </c>
      <c r="U280" s="234">
        <f t="shared" ref="U280:U343" si="244">VLOOKUP(B280,tabvv,4)</f>
        <v>0</v>
      </c>
      <c r="V280" s="232" t="e">
        <f t="shared" ref="V280:V343" si="245">V279+U280</f>
        <v>#DIV/0!</v>
      </c>
      <c r="W280" s="269" t="e">
        <f t="shared" ref="W280:W343" si="246">U280*vvm*sinal+X280+Z280+AB280</f>
        <v>#DIV/0!</v>
      </c>
      <c r="X280" s="235">
        <f t="shared" si="224"/>
        <v>0</v>
      </c>
      <c r="Y280" s="236">
        <f t="shared" ref="Y280:Y343" si="247">IF($B280&gt;mlan+5,IF($B280&lt;=mco,Y279+$AF279,+Y279),0)</f>
        <v>5</v>
      </c>
      <c r="Z280" s="236" t="e">
        <f t="shared" ref="Z280:Z343" si="248">Y280*vvm*sem*U280/npse</f>
        <v>#DIV/0!</v>
      </c>
      <c r="AA280" s="236">
        <f t="shared" ref="AA280:AA343" si="249">IF($B280&gt;mlan+5,IF($B280&lt;=mco,AA279+$AI279,+AA279),0)</f>
        <v>3</v>
      </c>
      <c r="AB280" s="236" t="e">
        <f t="shared" ref="AB280:AB343" si="250">AA280*vvm*anu*U280/npa</f>
        <v>#DIV/0!</v>
      </c>
      <c r="AC280" s="235">
        <f t="shared" ref="AC280:AC343" si="251">IF(B280&gt;=mec,0,V279*mdo*vvm/npm)</f>
        <v>0</v>
      </c>
      <c r="AD280" s="235">
        <f t="shared" ref="AD280:AD343" si="252">IF(B280&gt;mec,IF(B280&lt;=mec+npfd,pmtfd*nufd,0),0)</f>
        <v>0</v>
      </c>
      <c r="AE280" s="279">
        <f t="shared" ref="AE280:AE343" si="253">AD280+AC280</f>
        <v>0</v>
      </c>
      <c r="AF280" s="232">
        <f t="shared" ref="AF280:AF343" si="254">IF(D280=6,1,IF(D280=12,1,0))</f>
        <v>0</v>
      </c>
      <c r="AG280" s="235">
        <f t="shared" ref="AG280:AG343" si="255">IF($B280&gt;mlan+5,IF($B280&lt;=mco,$AG279+$AF280,0),0)</f>
        <v>0</v>
      </c>
      <c r="AH280" s="269">
        <f t="shared" ref="AH280:AH343" si="256">IF(B280&gt;=mlan+5,IF(B280&lt;=mco,V280*vvm*sem*AF280/npse,0),0)</f>
        <v>0</v>
      </c>
      <c r="AI280" s="232">
        <f t="shared" ref="AI280:AI343" si="257">IF(D280=12,1,0)</f>
        <v>0</v>
      </c>
      <c r="AJ280" s="235">
        <f t="shared" ref="AJ280:AJ343" si="258">IF(B279&gt;=mlan+5,IF(B279&lt;mco,AJ279+AI280,0),0)</f>
        <v>0</v>
      </c>
      <c r="AK280" s="269">
        <f t="shared" ref="AK280:AK343" si="259">IF(B280&lt;=mco,IF(B280&gt;=mlan+5,V280*vvm*anu/npa*AI280,0),0)</f>
        <v>0</v>
      </c>
      <c r="AL280" s="269">
        <f t="shared" si="225"/>
        <v>0</v>
      </c>
      <c r="AM280" s="281" t="e">
        <f>IF(B280&gt;=mpfo,pos*vvm*Dados!$E$122*(ntudv-SUM(U281:$U$301))-SUM($AM$13:AM279),0)</f>
        <v>#DIV/0!</v>
      </c>
      <c r="AN280" s="269" t="e">
        <f t="shared" ref="AN280:AN343" si="260">AL280+AK280+AH280+AE280+W280+AM280</f>
        <v>#DIV/0!</v>
      </c>
      <c r="AO280" s="232" t="e">
        <f t="shared" ref="AO280:AO343" si="261">AN280+T280</f>
        <v>#DIV/0!</v>
      </c>
      <c r="AP280" s="242" t="e">
        <f t="shared" ref="AP280:AP343" si="262">AP279+AO280</f>
        <v>#DIV/0!</v>
      </c>
      <c r="AQ280" s="235" t="e">
        <f>IF(AP280+SUM($AQ$12:AQ279)&gt;=0,0,-AP280-SUM($AQ$12:AQ279))</f>
        <v>#DIV/0!</v>
      </c>
      <c r="AR280" s="235">
        <f>IF(SUM($N$13:N279)&gt;=pmo,IF(SUM(N279:$N$501)&gt;(1-pmo),B280,0),0)</f>
        <v>0</v>
      </c>
      <c r="AS280" s="235" t="e">
        <f>IF((SUM($U$13:$U279)/ntudv)&gt;=pmv,IF((SUM($U279:$U$501)/ntudv)&gt;(1-pmv),B280,0),0)</f>
        <v>#DIV/0!</v>
      </c>
      <c r="AT280" s="237" t="e">
        <f>IF(MAX(mmo,mmv)=mmo,IF(B280=AR280,(SUM(N$13:$N279)-pmo)/((1-VLOOKUP(MAX(mmo,mmv)-1,$B$13:$O$501,14))+(VLOOKUP(MAX(mmo,mmv)-1,$B$13:$O$501,14)-pmo)),N279/((1-VLOOKUP(MAX(mmo,mmv)-1,$B$13:$O$501,14)+(VLOOKUP(MAX(mmo,mmv)-1,$B$13:$O$501,14)-pmo)))),N279/(1-VLOOKUP(MAX(mmo,mmv)-2,$B$13:$O$501,14)))</f>
        <v>#DIV/0!</v>
      </c>
      <c r="AU280" s="101" t="e">
        <f t="shared" si="226"/>
        <v>#DIV/0!</v>
      </c>
      <c r="AV280" s="287" t="e">
        <f t="shared" si="227"/>
        <v>#DIV/0!</v>
      </c>
      <c r="AW280" s="235" t="e">
        <f t="shared" ref="AW280:AW343" si="263">AV280+AZ279*(1+jfo)</f>
        <v>#DIV/0!</v>
      </c>
      <c r="AX280" s="281">
        <f>IF(B280&gt;mpfo,0,IF(B280=mpfo,(vld-teo*(1+tcfo-incc)^(MAX(mmo,mmv)-mbfo))*-1,IF(SUM($N$13:N279)&gt;=pmo,IF(($V279/ntudv)&gt;=pmv,IF(B280=MAX(mmo,mmv),-teo*(1+tcfo-incc)^(B280-mbfo),0),0),0)))</f>
        <v>0</v>
      </c>
      <c r="AY280" s="292" t="e">
        <f t="shared" si="228"/>
        <v>#DIV/0!</v>
      </c>
      <c r="AZ280" s="235" t="e">
        <f t="shared" ref="AZ280:AZ343" si="264">AW280+AX280+AY280</f>
        <v>#DIV/0!</v>
      </c>
      <c r="BA280" s="269" t="e">
        <f t="shared" ref="BA280:BA343" si="265">AO280+AV280+AX280+AY280</f>
        <v>#DIV/0!</v>
      </c>
      <c r="BB280" s="292" t="e">
        <f t="shared" ref="BB280:BB343" si="266">BB279+BA280</f>
        <v>#DIV/0!</v>
      </c>
      <c r="BC280" s="238" t="e">
        <f>IF(SUM($BC$13:BC279)&gt;0,0,IF(BB280&gt;0,B280,0))</f>
        <v>#DIV/0!</v>
      </c>
      <c r="BD280" s="292" t="e">
        <f>IF(BB280+SUM($BD$12:BD279)&gt;=0,0,-BB280-SUM($BD$12:BD279))</f>
        <v>#DIV/0!</v>
      </c>
      <c r="BE280" s="235" t="e">
        <f>BB280+SUM($BD$12:BD280)</f>
        <v>#DIV/0!</v>
      </c>
      <c r="BF280" s="292" t="e">
        <f>-MIN(BE280:$BE$501)-SUM(BF$12:$BF279)</f>
        <v>#DIV/0!</v>
      </c>
      <c r="BG280" s="235" t="e">
        <f t="shared" si="231"/>
        <v>#DIV/0!</v>
      </c>
    </row>
    <row r="281" spans="2:59">
      <c r="B281" s="120">
        <v>268</v>
      </c>
      <c r="C281" s="241">
        <f t="shared" si="230"/>
        <v>50834</v>
      </c>
      <c r="D281" s="229">
        <f t="shared" si="232"/>
        <v>3</v>
      </c>
      <c r="E281" s="230" t="str">
        <f t="shared" si="233"/>
        <v>-</v>
      </c>
      <c r="F281" s="231">
        <f t="shared" si="234"/>
        <v>0</v>
      </c>
      <c r="G281" s="231">
        <f t="shared" si="235"/>
        <v>0</v>
      </c>
      <c r="H281" s="231">
        <f t="shared" si="236"/>
        <v>0</v>
      </c>
      <c r="I281" s="268">
        <f t="shared" si="221"/>
        <v>0</v>
      </c>
      <c r="J281" s="269">
        <f t="shared" si="237"/>
        <v>0</v>
      </c>
      <c r="K281" s="269">
        <f t="shared" si="238"/>
        <v>0</v>
      </c>
      <c r="L281" s="269">
        <f t="shared" si="222"/>
        <v>0</v>
      </c>
      <c r="M281" s="269">
        <f t="shared" si="223"/>
        <v>0</v>
      </c>
      <c r="N281" s="233">
        <f>VLOOKUP(B281,Dados!$L$86:$P$90,5)</f>
        <v>0</v>
      </c>
      <c r="O281" s="270">
        <f t="shared" si="239"/>
        <v>0.99999999999999989</v>
      </c>
      <c r="P281" s="269">
        <f t="shared" si="240"/>
        <v>0</v>
      </c>
      <c r="Q281" s="269" t="e">
        <f t="shared" si="241"/>
        <v>#DIV/0!</v>
      </c>
      <c r="R281" s="269">
        <f t="shared" si="242"/>
        <v>0</v>
      </c>
      <c r="S281" s="269" t="e">
        <f t="shared" si="243"/>
        <v>#DIV/0!</v>
      </c>
      <c r="T281" s="269" t="e">
        <f t="shared" si="229"/>
        <v>#DIV/0!</v>
      </c>
      <c r="U281" s="234">
        <f t="shared" si="244"/>
        <v>0</v>
      </c>
      <c r="V281" s="232" t="e">
        <f t="shared" si="245"/>
        <v>#DIV/0!</v>
      </c>
      <c r="W281" s="269" t="e">
        <f t="shared" si="246"/>
        <v>#DIV/0!</v>
      </c>
      <c r="X281" s="235">
        <f t="shared" si="224"/>
        <v>0</v>
      </c>
      <c r="Y281" s="236">
        <f t="shared" si="247"/>
        <v>5</v>
      </c>
      <c r="Z281" s="236" t="e">
        <f t="shared" si="248"/>
        <v>#DIV/0!</v>
      </c>
      <c r="AA281" s="236">
        <f t="shared" si="249"/>
        <v>3</v>
      </c>
      <c r="AB281" s="236" t="e">
        <f t="shared" si="250"/>
        <v>#DIV/0!</v>
      </c>
      <c r="AC281" s="235">
        <f t="shared" si="251"/>
        <v>0</v>
      </c>
      <c r="AD281" s="235">
        <f t="shared" si="252"/>
        <v>0</v>
      </c>
      <c r="AE281" s="279">
        <f t="shared" si="253"/>
        <v>0</v>
      </c>
      <c r="AF281" s="232">
        <f t="shared" si="254"/>
        <v>0</v>
      </c>
      <c r="AG281" s="235">
        <f t="shared" si="255"/>
        <v>0</v>
      </c>
      <c r="AH281" s="269">
        <f t="shared" si="256"/>
        <v>0</v>
      </c>
      <c r="AI281" s="232">
        <f t="shared" si="257"/>
        <v>0</v>
      </c>
      <c r="AJ281" s="235">
        <f t="shared" si="258"/>
        <v>0</v>
      </c>
      <c r="AK281" s="269">
        <f t="shared" si="259"/>
        <v>0</v>
      </c>
      <c r="AL281" s="269">
        <f t="shared" si="225"/>
        <v>0</v>
      </c>
      <c r="AM281" s="281" t="e">
        <f>IF(B281&gt;=mpfo,pos*vvm*Dados!$E$122*(ntudv-SUM(U282:$U$301))-SUM($AM$13:AM280),0)</f>
        <v>#DIV/0!</v>
      </c>
      <c r="AN281" s="269" t="e">
        <f t="shared" si="260"/>
        <v>#DIV/0!</v>
      </c>
      <c r="AO281" s="232" t="e">
        <f t="shared" si="261"/>
        <v>#DIV/0!</v>
      </c>
      <c r="AP281" s="242" t="e">
        <f t="shared" si="262"/>
        <v>#DIV/0!</v>
      </c>
      <c r="AQ281" s="235" t="e">
        <f>IF(AP281+SUM($AQ$12:AQ280)&gt;=0,0,-AP281-SUM($AQ$12:AQ280))</f>
        <v>#DIV/0!</v>
      </c>
      <c r="AR281" s="235">
        <f>IF(SUM($N$13:N280)&gt;=pmo,IF(SUM(N280:$N$501)&gt;(1-pmo),B281,0),0)</f>
        <v>0</v>
      </c>
      <c r="AS281" s="235" t="e">
        <f>IF((SUM($U$13:$U280)/ntudv)&gt;=pmv,IF((SUM($U280:$U$501)/ntudv)&gt;(1-pmv),B281,0),0)</f>
        <v>#DIV/0!</v>
      </c>
      <c r="AT281" s="237" t="e">
        <f>IF(MAX(mmo,mmv)=mmo,IF(B281=AR281,(SUM(N$13:$N280)-pmo)/((1-VLOOKUP(MAX(mmo,mmv)-1,$B$13:$O$501,14))+(VLOOKUP(MAX(mmo,mmv)-1,$B$13:$O$501,14)-pmo)),N280/((1-VLOOKUP(MAX(mmo,mmv)-1,$B$13:$O$501,14)+(VLOOKUP(MAX(mmo,mmv)-1,$B$13:$O$501,14)-pmo)))),N280/(1-VLOOKUP(MAX(mmo,mmv)-2,$B$13:$O$501,14)))</f>
        <v>#DIV/0!</v>
      </c>
      <c r="AU281" s="101" t="e">
        <f t="shared" si="226"/>
        <v>#DIV/0!</v>
      </c>
      <c r="AV281" s="287" t="e">
        <f t="shared" si="227"/>
        <v>#DIV/0!</v>
      </c>
      <c r="AW281" s="235" t="e">
        <f t="shared" si="263"/>
        <v>#DIV/0!</v>
      </c>
      <c r="AX281" s="281">
        <f>IF(B281&gt;mpfo,0,IF(B281=mpfo,(vld-teo*(1+tcfo-incc)^(MAX(mmo,mmv)-mbfo))*-1,IF(SUM($N$13:N280)&gt;=pmo,IF(($V280/ntudv)&gt;=pmv,IF(B281=MAX(mmo,mmv),-teo*(1+tcfo-incc)^(B281-mbfo),0),0),0)))</f>
        <v>0</v>
      </c>
      <c r="AY281" s="292" t="e">
        <f t="shared" si="228"/>
        <v>#DIV/0!</v>
      </c>
      <c r="AZ281" s="235" t="e">
        <f t="shared" si="264"/>
        <v>#DIV/0!</v>
      </c>
      <c r="BA281" s="269" t="e">
        <f t="shared" si="265"/>
        <v>#DIV/0!</v>
      </c>
      <c r="BB281" s="292" t="e">
        <f t="shared" si="266"/>
        <v>#DIV/0!</v>
      </c>
      <c r="BC281" s="238" t="e">
        <f>IF(SUM($BC$13:BC280)&gt;0,0,IF(BB281&gt;0,B281,0))</f>
        <v>#DIV/0!</v>
      </c>
      <c r="BD281" s="292" t="e">
        <f>IF(BB281+SUM($BD$12:BD280)&gt;=0,0,-BB281-SUM($BD$12:BD280))</f>
        <v>#DIV/0!</v>
      </c>
      <c r="BE281" s="235" t="e">
        <f>BB281+SUM($BD$12:BD281)</f>
        <v>#DIV/0!</v>
      </c>
      <c r="BF281" s="292" t="e">
        <f>-MIN(BE281:$BE$501)-SUM(BF$12:$BF280)</f>
        <v>#DIV/0!</v>
      </c>
      <c r="BG281" s="235" t="e">
        <f t="shared" si="231"/>
        <v>#DIV/0!</v>
      </c>
    </row>
    <row r="282" spans="2:59">
      <c r="B282" s="246">
        <v>269</v>
      </c>
      <c r="C282" s="241">
        <f t="shared" si="230"/>
        <v>50865</v>
      </c>
      <c r="D282" s="229">
        <f t="shared" si="232"/>
        <v>4</v>
      </c>
      <c r="E282" s="230" t="str">
        <f t="shared" si="233"/>
        <v>-</v>
      </c>
      <c r="F282" s="231">
        <f t="shared" si="234"/>
        <v>0</v>
      </c>
      <c r="G282" s="231">
        <f t="shared" si="235"/>
        <v>0</v>
      </c>
      <c r="H282" s="231">
        <f t="shared" si="236"/>
        <v>0</v>
      </c>
      <c r="I282" s="268">
        <f t="shared" si="221"/>
        <v>0</v>
      </c>
      <c r="J282" s="269">
        <f t="shared" si="237"/>
        <v>0</v>
      </c>
      <c r="K282" s="269">
        <f t="shared" si="238"/>
        <v>0</v>
      </c>
      <c r="L282" s="269">
        <f t="shared" si="222"/>
        <v>0</v>
      </c>
      <c r="M282" s="269">
        <f t="shared" si="223"/>
        <v>0</v>
      </c>
      <c r="N282" s="233">
        <f>VLOOKUP(B282,Dados!$L$86:$P$90,5)</f>
        <v>0</v>
      </c>
      <c r="O282" s="270">
        <f t="shared" si="239"/>
        <v>0.99999999999999989</v>
      </c>
      <c r="P282" s="269">
        <f t="shared" si="240"/>
        <v>0</v>
      </c>
      <c r="Q282" s="269" t="e">
        <f t="shared" si="241"/>
        <v>#DIV/0!</v>
      </c>
      <c r="R282" s="269">
        <f t="shared" si="242"/>
        <v>0</v>
      </c>
      <c r="S282" s="269" t="e">
        <f t="shared" si="243"/>
        <v>#DIV/0!</v>
      </c>
      <c r="T282" s="269" t="e">
        <f t="shared" si="229"/>
        <v>#DIV/0!</v>
      </c>
      <c r="U282" s="234">
        <f t="shared" si="244"/>
        <v>0</v>
      </c>
      <c r="V282" s="232" t="e">
        <f t="shared" si="245"/>
        <v>#DIV/0!</v>
      </c>
      <c r="W282" s="269" t="e">
        <f t="shared" si="246"/>
        <v>#DIV/0!</v>
      </c>
      <c r="X282" s="235">
        <f t="shared" si="224"/>
        <v>0</v>
      </c>
      <c r="Y282" s="236">
        <f t="shared" si="247"/>
        <v>5</v>
      </c>
      <c r="Z282" s="236" t="e">
        <f t="shared" si="248"/>
        <v>#DIV/0!</v>
      </c>
      <c r="AA282" s="236">
        <f t="shared" si="249"/>
        <v>3</v>
      </c>
      <c r="AB282" s="236" t="e">
        <f t="shared" si="250"/>
        <v>#DIV/0!</v>
      </c>
      <c r="AC282" s="235">
        <f t="shared" si="251"/>
        <v>0</v>
      </c>
      <c r="AD282" s="235">
        <f t="shared" si="252"/>
        <v>0</v>
      </c>
      <c r="AE282" s="279">
        <f t="shared" si="253"/>
        <v>0</v>
      </c>
      <c r="AF282" s="232">
        <f t="shared" si="254"/>
        <v>0</v>
      </c>
      <c r="AG282" s="235">
        <f t="shared" si="255"/>
        <v>0</v>
      </c>
      <c r="AH282" s="269">
        <f t="shared" si="256"/>
        <v>0</v>
      </c>
      <c r="AI282" s="232">
        <f t="shared" si="257"/>
        <v>0</v>
      </c>
      <c r="AJ282" s="235">
        <f t="shared" si="258"/>
        <v>0</v>
      </c>
      <c r="AK282" s="269">
        <f t="shared" si="259"/>
        <v>0</v>
      </c>
      <c r="AL282" s="269">
        <f t="shared" si="225"/>
        <v>0</v>
      </c>
      <c r="AM282" s="281" t="e">
        <f>IF(B282&gt;=mpfo,pos*vvm*Dados!$E$122*(ntudv-SUM(U283:$U$301))-SUM($AM$13:AM281),0)</f>
        <v>#DIV/0!</v>
      </c>
      <c r="AN282" s="269" t="e">
        <f t="shared" si="260"/>
        <v>#DIV/0!</v>
      </c>
      <c r="AO282" s="232" t="e">
        <f t="shared" si="261"/>
        <v>#DIV/0!</v>
      </c>
      <c r="AP282" s="242" t="e">
        <f t="shared" si="262"/>
        <v>#DIV/0!</v>
      </c>
      <c r="AQ282" s="235" t="e">
        <f>IF(AP282+SUM($AQ$12:AQ281)&gt;=0,0,-AP282-SUM($AQ$12:AQ281))</f>
        <v>#DIV/0!</v>
      </c>
      <c r="AR282" s="235">
        <f>IF(SUM($N$13:N281)&gt;=pmo,IF(SUM(N281:$N$501)&gt;(1-pmo),B282,0),0)</f>
        <v>0</v>
      </c>
      <c r="AS282" s="235" t="e">
        <f>IF((SUM($U$13:$U281)/ntudv)&gt;=pmv,IF((SUM($U281:$U$501)/ntudv)&gt;(1-pmv),B282,0),0)</f>
        <v>#DIV/0!</v>
      </c>
      <c r="AT282" s="237" t="e">
        <f>IF(MAX(mmo,mmv)=mmo,IF(B282=AR282,(SUM(N$13:$N281)-pmo)/((1-VLOOKUP(MAX(mmo,mmv)-1,$B$13:$O$501,14))+(VLOOKUP(MAX(mmo,mmv)-1,$B$13:$O$501,14)-pmo)),N281/((1-VLOOKUP(MAX(mmo,mmv)-1,$B$13:$O$501,14)+(VLOOKUP(MAX(mmo,mmv)-1,$B$13:$O$501,14)-pmo)))),N281/(1-VLOOKUP(MAX(mmo,mmv)-2,$B$13:$O$501,14)))</f>
        <v>#DIV/0!</v>
      </c>
      <c r="AU282" s="101" t="e">
        <f t="shared" si="226"/>
        <v>#DIV/0!</v>
      </c>
      <c r="AV282" s="287" t="e">
        <f t="shared" si="227"/>
        <v>#DIV/0!</v>
      </c>
      <c r="AW282" s="235" t="e">
        <f t="shared" si="263"/>
        <v>#DIV/0!</v>
      </c>
      <c r="AX282" s="281">
        <f>IF(B282&gt;mpfo,0,IF(B282=mpfo,(vld-teo*(1+tcfo-incc)^(MAX(mmo,mmv)-mbfo))*-1,IF(SUM($N$13:N281)&gt;=pmo,IF(($V281/ntudv)&gt;=pmv,IF(B282=MAX(mmo,mmv),-teo*(1+tcfo-incc)^(B282-mbfo),0),0),0)))</f>
        <v>0</v>
      </c>
      <c r="AY282" s="292" t="e">
        <f t="shared" si="228"/>
        <v>#DIV/0!</v>
      </c>
      <c r="AZ282" s="235" t="e">
        <f t="shared" si="264"/>
        <v>#DIV/0!</v>
      </c>
      <c r="BA282" s="269" t="e">
        <f t="shared" si="265"/>
        <v>#DIV/0!</v>
      </c>
      <c r="BB282" s="292" t="e">
        <f t="shared" si="266"/>
        <v>#DIV/0!</v>
      </c>
      <c r="BC282" s="238" t="e">
        <f>IF(SUM($BC$13:BC281)&gt;0,0,IF(BB282&gt;0,B282,0))</f>
        <v>#DIV/0!</v>
      </c>
      <c r="BD282" s="292" t="e">
        <f>IF(BB282+SUM($BD$12:BD281)&gt;=0,0,-BB282-SUM($BD$12:BD281))</f>
        <v>#DIV/0!</v>
      </c>
      <c r="BE282" s="235" t="e">
        <f>BB282+SUM($BD$12:BD282)</f>
        <v>#DIV/0!</v>
      </c>
      <c r="BF282" s="292" t="e">
        <f>-MIN(BE282:$BE$501)-SUM(BF$12:$BF281)</f>
        <v>#DIV/0!</v>
      </c>
      <c r="BG282" s="235" t="e">
        <f t="shared" si="231"/>
        <v>#DIV/0!</v>
      </c>
    </row>
    <row r="283" spans="2:59">
      <c r="B283" s="120">
        <v>270</v>
      </c>
      <c r="C283" s="241">
        <f t="shared" si="230"/>
        <v>50895</v>
      </c>
      <c r="D283" s="229">
        <f t="shared" si="232"/>
        <v>5</v>
      </c>
      <c r="E283" s="230" t="str">
        <f t="shared" si="233"/>
        <v>-</v>
      </c>
      <c r="F283" s="231">
        <f t="shared" si="234"/>
        <v>0</v>
      </c>
      <c r="G283" s="231">
        <f t="shared" si="235"/>
        <v>0</v>
      </c>
      <c r="H283" s="231">
        <f t="shared" si="236"/>
        <v>0</v>
      </c>
      <c r="I283" s="268">
        <f t="shared" si="221"/>
        <v>0</v>
      </c>
      <c r="J283" s="269">
        <f t="shared" si="237"/>
        <v>0</v>
      </c>
      <c r="K283" s="269">
        <f t="shared" si="238"/>
        <v>0</v>
      </c>
      <c r="L283" s="269">
        <f t="shared" si="222"/>
        <v>0</v>
      </c>
      <c r="M283" s="269">
        <f t="shared" si="223"/>
        <v>0</v>
      </c>
      <c r="N283" s="233">
        <f>VLOOKUP(B283,Dados!$L$86:$P$90,5)</f>
        <v>0</v>
      </c>
      <c r="O283" s="270">
        <f t="shared" si="239"/>
        <v>0.99999999999999989</v>
      </c>
      <c r="P283" s="269">
        <f t="shared" si="240"/>
        <v>0</v>
      </c>
      <c r="Q283" s="269" t="e">
        <f t="shared" si="241"/>
        <v>#DIV/0!</v>
      </c>
      <c r="R283" s="269">
        <f t="shared" si="242"/>
        <v>0</v>
      </c>
      <c r="S283" s="269" t="e">
        <f t="shared" si="243"/>
        <v>#DIV/0!</v>
      </c>
      <c r="T283" s="269" t="e">
        <f t="shared" si="229"/>
        <v>#DIV/0!</v>
      </c>
      <c r="U283" s="234">
        <f t="shared" si="244"/>
        <v>0</v>
      </c>
      <c r="V283" s="232" t="e">
        <f t="shared" si="245"/>
        <v>#DIV/0!</v>
      </c>
      <c r="W283" s="269" t="e">
        <f t="shared" si="246"/>
        <v>#DIV/0!</v>
      </c>
      <c r="X283" s="235">
        <f t="shared" si="224"/>
        <v>0</v>
      </c>
      <c r="Y283" s="236">
        <f t="shared" si="247"/>
        <v>5</v>
      </c>
      <c r="Z283" s="236" t="e">
        <f t="shared" si="248"/>
        <v>#DIV/0!</v>
      </c>
      <c r="AA283" s="236">
        <f t="shared" si="249"/>
        <v>3</v>
      </c>
      <c r="AB283" s="236" t="e">
        <f t="shared" si="250"/>
        <v>#DIV/0!</v>
      </c>
      <c r="AC283" s="235">
        <f t="shared" si="251"/>
        <v>0</v>
      </c>
      <c r="AD283" s="235">
        <f t="shared" si="252"/>
        <v>0</v>
      </c>
      <c r="AE283" s="279">
        <f t="shared" si="253"/>
        <v>0</v>
      </c>
      <c r="AF283" s="232">
        <f t="shared" si="254"/>
        <v>0</v>
      </c>
      <c r="AG283" s="235">
        <f t="shared" si="255"/>
        <v>0</v>
      </c>
      <c r="AH283" s="269">
        <f t="shared" si="256"/>
        <v>0</v>
      </c>
      <c r="AI283" s="232">
        <f t="shared" si="257"/>
        <v>0</v>
      </c>
      <c r="AJ283" s="235">
        <f t="shared" si="258"/>
        <v>0</v>
      </c>
      <c r="AK283" s="269">
        <f t="shared" si="259"/>
        <v>0</v>
      </c>
      <c r="AL283" s="269">
        <f t="shared" si="225"/>
        <v>0</v>
      </c>
      <c r="AM283" s="281" t="e">
        <f>IF(B283&gt;=mpfo,pos*vvm*Dados!$E$122*(ntudv-SUM(U284:$U$301))-SUM($AM$13:AM282),0)</f>
        <v>#DIV/0!</v>
      </c>
      <c r="AN283" s="269" t="e">
        <f t="shared" si="260"/>
        <v>#DIV/0!</v>
      </c>
      <c r="AO283" s="232" t="e">
        <f t="shared" si="261"/>
        <v>#DIV/0!</v>
      </c>
      <c r="AP283" s="242" t="e">
        <f t="shared" si="262"/>
        <v>#DIV/0!</v>
      </c>
      <c r="AQ283" s="235" t="e">
        <f>IF(AP283+SUM($AQ$12:AQ282)&gt;=0,0,-AP283-SUM($AQ$12:AQ282))</f>
        <v>#DIV/0!</v>
      </c>
      <c r="AR283" s="235">
        <f>IF(SUM($N$13:N282)&gt;=pmo,IF(SUM(N282:$N$501)&gt;(1-pmo),B283,0),0)</f>
        <v>0</v>
      </c>
      <c r="AS283" s="235" t="e">
        <f>IF((SUM($U$13:$U282)/ntudv)&gt;=pmv,IF((SUM($U282:$U$501)/ntudv)&gt;(1-pmv),B283,0),0)</f>
        <v>#DIV/0!</v>
      </c>
      <c r="AT283" s="237" t="e">
        <f>IF(MAX(mmo,mmv)=mmo,IF(B283=AR283,(SUM(N$13:$N282)-pmo)/((1-VLOOKUP(MAX(mmo,mmv)-1,$B$13:$O$501,14))+(VLOOKUP(MAX(mmo,mmv)-1,$B$13:$O$501,14)-pmo)),N282/((1-VLOOKUP(MAX(mmo,mmv)-1,$B$13:$O$501,14)+(VLOOKUP(MAX(mmo,mmv)-1,$B$13:$O$501,14)-pmo)))),N282/(1-VLOOKUP(MAX(mmo,mmv)-2,$B$13:$O$501,14)))</f>
        <v>#DIV/0!</v>
      </c>
      <c r="AU283" s="101" t="e">
        <f t="shared" si="226"/>
        <v>#DIV/0!</v>
      </c>
      <c r="AV283" s="287" t="e">
        <f t="shared" si="227"/>
        <v>#DIV/0!</v>
      </c>
      <c r="AW283" s="235" t="e">
        <f t="shared" si="263"/>
        <v>#DIV/0!</v>
      </c>
      <c r="AX283" s="281">
        <f>IF(B283&gt;mpfo,0,IF(B283=mpfo,(vld-teo*(1+tcfo-incc)^(MAX(mmo,mmv)-mbfo))*-1,IF(SUM($N$13:N282)&gt;=pmo,IF(($V282/ntudv)&gt;=pmv,IF(B283=MAX(mmo,mmv),-teo*(1+tcfo-incc)^(B283-mbfo),0),0),0)))</f>
        <v>0</v>
      </c>
      <c r="AY283" s="292" t="e">
        <f t="shared" si="228"/>
        <v>#DIV/0!</v>
      </c>
      <c r="AZ283" s="235" t="e">
        <f t="shared" si="264"/>
        <v>#DIV/0!</v>
      </c>
      <c r="BA283" s="269" t="e">
        <f t="shared" si="265"/>
        <v>#DIV/0!</v>
      </c>
      <c r="BB283" s="292" t="e">
        <f t="shared" si="266"/>
        <v>#DIV/0!</v>
      </c>
      <c r="BC283" s="238" t="e">
        <f>IF(SUM($BC$13:BC282)&gt;0,0,IF(BB283&gt;0,B283,0))</f>
        <v>#DIV/0!</v>
      </c>
      <c r="BD283" s="292" t="e">
        <f>IF(BB283+SUM($BD$12:BD282)&gt;=0,0,-BB283-SUM($BD$12:BD282))</f>
        <v>#DIV/0!</v>
      </c>
      <c r="BE283" s="235" t="e">
        <f>BB283+SUM($BD$12:BD283)</f>
        <v>#DIV/0!</v>
      </c>
      <c r="BF283" s="292" t="e">
        <f>-MIN(BE283:$BE$501)-SUM(BF$12:$BF282)</f>
        <v>#DIV/0!</v>
      </c>
      <c r="BG283" s="235" t="e">
        <f t="shared" si="231"/>
        <v>#DIV/0!</v>
      </c>
    </row>
    <row r="284" spans="2:59">
      <c r="B284" s="246">
        <v>271</v>
      </c>
      <c r="C284" s="241">
        <f t="shared" si="230"/>
        <v>50926</v>
      </c>
      <c r="D284" s="229">
        <f t="shared" si="232"/>
        <v>6</v>
      </c>
      <c r="E284" s="230" t="str">
        <f t="shared" si="233"/>
        <v>-</v>
      </c>
      <c r="F284" s="231">
        <f t="shared" si="234"/>
        <v>0</v>
      </c>
      <c r="G284" s="231">
        <f t="shared" si="235"/>
        <v>0</v>
      </c>
      <c r="H284" s="231">
        <f t="shared" si="236"/>
        <v>0</v>
      </c>
      <c r="I284" s="268">
        <f t="shared" si="221"/>
        <v>0</v>
      </c>
      <c r="J284" s="269">
        <f t="shared" si="237"/>
        <v>0</v>
      </c>
      <c r="K284" s="269">
        <f t="shared" si="238"/>
        <v>0</v>
      </c>
      <c r="L284" s="269">
        <f t="shared" si="222"/>
        <v>0</v>
      </c>
      <c r="M284" s="269">
        <f t="shared" si="223"/>
        <v>0</v>
      </c>
      <c r="N284" s="233">
        <f>VLOOKUP(B284,Dados!$L$86:$P$90,5)</f>
        <v>0</v>
      </c>
      <c r="O284" s="270">
        <f t="shared" si="239"/>
        <v>0.99999999999999989</v>
      </c>
      <c r="P284" s="269">
        <f t="shared" si="240"/>
        <v>0</v>
      </c>
      <c r="Q284" s="269" t="e">
        <f t="shared" si="241"/>
        <v>#DIV/0!</v>
      </c>
      <c r="R284" s="269">
        <f t="shared" si="242"/>
        <v>0</v>
      </c>
      <c r="S284" s="269" t="e">
        <f t="shared" si="243"/>
        <v>#DIV/0!</v>
      </c>
      <c r="T284" s="269" t="e">
        <f t="shared" si="229"/>
        <v>#DIV/0!</v>
      </c>
      <c r="U284" s="234">
        <f t="shared" si="244"/>
        <v>0</v>
      </c>
      <c r="V284" s="232" t="e">
        <f t="shared" si="245"/>
        <v>#DIV/0!</v>
      </c>
      <c r="W284" s="269" t="e">
        <f t="shared" si="246"/>
        <v>#DIV/0!</v>
      </c>
      <c r="X284" s="235">
        <f t="shared" si="224"/>
        <v>0</v>
      </c>
      <c r="Y284" s="236">
        <f t="shared" si="247"/>
        <v>5</v>
      </c>
      <c r="Z284" s="236" t="e">
        <f t="shared" si="248"/>
        <v>#DIV/0!</v>
      </c>
      <c r="AA284" s="236">
        <f t="shared" si="249"/>
        <v>3</v>
      </c>
      <c r="AB284" s="236" t="e">
        <f t="shared" si="250"/>
        <v>#DIV/0!</v>
      </c>
      <c r="AC284" s="235">
        <f t="shared" si="251"/>
        <v>0</v>
      </c>
      <c r="AD284" s="235">
        <f t="shared" si="252"/>
        <v>0</v>
      </c>
      <c r="AE284" s="279">
        <f t="shared" si="253"/>
        <v>0</v>
      </c>
      <c r="AF284" s="232">
        <f t="shared" si="254"/>
        <v>1</v>
      </c>
      <c r="AG284" s="235">
        <f t="shared" si="255"/>
        <v>0</v>
      </c>
      <c r="AH284" s="269">
        <f t="shared" si="256"/>
        <v>0</v>
      </c>
      <c r="AI284" s="232">
        <f t="shared" si="257"/>
        <v>0</v>
      </c>
      <c r="AJ284" s="235">
        <f t="shared" si="258"/>
        <v>0</v>
      </c>
      <c r="AK284" s="269">
        <f t="shared" si="259"/>
        <v>0</v>
      </c>
      <c r="AL284" s="269">
        <f t="shared" si="225"/>
        <v>0</v>
      </c>
      <c r="AM284" s="281" t="e">
        <f>IF(B284&gt;=mpfo,pos*vvm*Dados!$E$122*(ntudv-SUM(U285:$U$301))-SUM($AM$13:AM283),0)</f>
        <v>#DIV/0!</v>
      </c>
      <c r="AN284" s="269" t="e">
        <f t="shared" si="260"/>
        <v>#DIV/0!</v>
      </c>
      <c r="AO284" s="232" t="e">
        <f t="shared" si="261"/>
        <v>#DIV/0!</v>
      </c>
      <c r="AP284" s="242" t="e">
        <f t="shared" si="262"/>
        <v>#DIV/0!</v>
      </c>
      <c r="AQ284" s="235" t="e">
        <f>IF(AP284+SUM($AQ$12:AQ283)&gt;=0,0,-AP284-SUM($AQ$12:AQ283))</f>
        <v>#DIV/0!</v>
      </c>
      <c r="AR284" s="235">
        <f>IF(SUM($N$13:N283)&gt;=pmo,IF(SUM(N283:$N$501)&gt;(1-pmo),B284,0),0)</f>
        <v>0</v>
      </c>
      <c r="AS284" s="235" t="e">
        <f>IF((SUM($U$13:$U283)/ntudv)&gt;=pmv,IF((SUM($U283:$U$501)/ntudv)&gt;(1-pmv),B284,0),0)</f>
        <v>#DIV/0!</v>
      </c>
      <c r="AT284" s="237" t="e">
        <f>IF(MAX(mmo,mmv)=mmo,IF(B284=AR284,(SUM(N$13:$N283)-pmo)/((1-VLOOKUP(MAX(mmo,mmv)-1,$B$13:$O$501,14))+(VLOOKUP(MAX(mmo,mmv)-1,$B$13:$O$501,14)-pmo)),N283/((1-VLOOKUP(MAX(mmo,mmv)-1,$B$13:$O$501,14)+(VLOOKUP(MAX(mmo,mmv)-1,$B$13:$O$501,14)-pmo)))),N283/(1-VLOOKUP(MAX(mmo,mmv)-2,$B$13:$O$501,14)))</f>
        <v>#DIV/0!</v>
      </c>
      <c r="AU284" s="101" t="e">
        <f t="shared" si="226"/>
        <v>#DIV/0!</v>
      </c>
      <c r="AV284" s="287" t="e">
        <f t="shared" si="227"/>
        <v>#DIV/0!</v>
      </c>
      <c r="AW284" s="235" t="e">
        <f t="shared" si="263"/>
        <v>#DIV/0!</v>
      </c>
      <c r="AX284" s="281">
        <f>IF(B284&gt;mpfo,0,IF(B284=mpfo,(vld-teo*(1+tcfo-incc)^(MAX(mmo,mmv)-mbfo))*-1,IF(SUM($N$13:N283)&gt;=pmo,IF(($V283/ntudv)&gt;=pmv,IF(B284=MAX(mmo,mmv),-teo*(1+tcfo-incc)^(B284-mbfo),0),0),0)))</f>
        <v>0</v>
      </c>
      <c r="AY284" s="292" t="e">
        <f t="shared" si="228"/>
        <v>#DIV/0!</v>
      </c>
      <c r="AZ284" s="235" t="e">
        <f t="shared" si="264"/>
        <v>#DIV/0!</v>
      </c>
      <c r="BA284" s="269" t="e">
        <f t="shared" si="265"/>
        <v>#DIV/0!</v>
      </c>
      <c r="BB284" s="292" t="e">
        <f t="shared" si="266"/>
        <v>#DIV/0!</v>
      </c>
      <c r="BC284" s="238" t="e">
        <f>IF(SUM($BC$13:BC283)&gt;0,0,IF(BB284&gt;0,B284,0))</f>
        <v>#DIV/0!</v>
      </c>
      <c r="BD284" s="292" t="e">
        <f>IF(BB284+SUM($BD$12:BD283)&gt;=0,0,-BB284-SUM($BD$12:BD283))</f>
        <v>#DIV/0!</v>
      </c>
      <c r="BE284" s="235" t="e">
        <f>BB284+SUM($BD$12:BD284)</f>
        <v>#DIV/0!</v>
      </c>
      <c r="BF284" s="292" t="e">
        <f>-MIN(BE284:$BE$501)-SUM(BF$12:$BF283)</f>
        <v>#DIV/0!</v>
      </c>
      <c r="BG284" s="235" t="e">
        <f t="shared" si="231"/>
        <v>#DIV/0!</v>
      </c>
    </row>
    <row r="285" spans="2:59">
      <c r="B285" s="120">
        <v>272</v>
      </c>
      <c r="C285" s="241">
        <f t="shared" si="230"/>
        <v>50956</v>
      </c>
      <c r="D285" s="229">
        <f t="shared" si="232"/>
        <v>7</v>
      </c>
      <c r="E285" s="230" t="str">
        <f t="shared" si="233"/>
        <v>-</v>
      </c>
      <c r="F285" s="231">
        <f t="shared" si="234"/>
        <v>0</v>
      </c>
      <c r="G285" s="231">
        <f t="shared" si="235"/>
        <v>0</v>
      </c>
      <c r="H285" s="231">
        <f t="shared" si="236"/>
        <v>0</v>
      </c>
      <c r="I285" s="268">
        <f t="shared" si="221"/>
        <v>0</v>
      </c>
      <c r="J285" s="269">
        <f t="shared" si="237"/>
        <v>0</v>
      </c>
      <c r="K285" s="269">
        <f t="shared" si="238"/>
        <v>0</v>
      </c>
      <c r="L285" s="269">
        <f t="shared" si="222"/>
        <v>0</v>
      </c>
      <c r="M285" s="269">
        <f t="shared" si="223"/>
        <v>0</v>
      </c>
      <c r="N285" s="233">
        <f>VLOOKUP(B285,Dados!$L$86:$P$90,5)</f>
        <v>0</v>
      </c>
      <c r="O285" s="270">
        <f t="shared" si="239"/>
        <v>0.99999999999999989</v>
      </c>
      <c r="P285" s="269">
        <f t="shared" si="240"/>
        <v>0</v>
      </c>
      <c r="Q285" s="269" t="e">
        <f t="shared" si="241"/>
        <v>#DIV/0!</v>
      </c>
      <c r="R285" s="269">
        <f t="shared" si="242"/>
        <v>0</v>
      </c>
      <c r="S285" s="269" t="e">
        <f t="shared" si="243"/>
        <v>#DIV/0!</v>
      </c>
      <c r="T285" s="269" t="e">
        <f t="shared" si="229"/>
        <v>#DIV/0!</v>
      </c>
      <c r="U285" s="234">
        <f t="shared" si="244"/>
        <v>0</v>
      </c>
      <c r="V285" s="232" t="e">
        <f t="shared" si="245"/>
        <v>#DIV/0!</v>
      </c>
      <c r="W285" s="269" t="e">
        <f t="shared" si="246"/>
        <v>#DIV/0!</v>
      </c>
      <c r="X285" s="235">
        <f t="shared" si="224"/>
        <v>0</v>
      </c>
      <c r="Y285" s="236">
        <f t="shared" si="247"/>
        <v>5</v>
      </c>
      <c r="Z285" s="236" t="e">
        <f t="shared" si="248"/>
        <v>#DIV/0!</v>
      </c>
      <c r="AA285" s="236">
        <f t="shared" si="249"/>
        <v>3</v>
      </c>
      <c r="AB285" s="236" t="e">
        <f t="shared" si="250"/>
        <v>#DIV/0!</v>
      </c>
      <c r="AC285" s="235">
        <f t="shared" si="251"/>
        <v>0</v>
      </c>
      <c r="AD285" s="235">
        <f t="shared" si="252"/>
        <v>0</v>
      </c>
      <c r="AE285" s="279">
        <f t="shared" si="253"/>
        <v>0</v>
      </c>
      <c r="AF285" s="232">
        <f t="shared" si="254"/>
        <v>0</v>
      </c>
      <c r="AG285" s="235">
        <f t="shared" si="255"/>
        <v>0</v>
      </c>
      <c r="AH285" s="269">
        <f t="shared" si="256"/>
        <v>0</v>
      </c>
      <c r="AI285" s="232">
        <f t="shared" si="257"/>
        <v>0</v>
      </c>
      <c r="AJ285" s="235">
        <f t="shared" si="258"/>
        <v>0</v>
      </c>
      <c r="AK285" s="269">
        <f t="shared" si="259"/>
        <v>0</v>
      </c>
      <c r="AL285" s="269">
        <f t="shared" si="225"/>
        <v>0</v>
      </c>
      <c r="AM285" s="281" t="e">
        <f>IF(B285&gt;=mpfo,pos*vvm*Dados!$E$122*(ntudv-SUM(U286:$U$301))-SUM($AM$13:AM284),0)</f>
        <v>#DIV/0!</v>
      </c>
      <c r="AN285" s="269" t="e">
        <f t="shared" si="260"/>
        <v>#DIV/0!</v>
      </c>
      <c r="AO285" s="232" t="e">
        <f t="shared" si="261"/>
        <v>#DIV/0!</v>
      </c>
      <c r="AP285" s="242" t="e">
        <f t="shared" si="262"/>
        <v>#DIV/0!</v>
      </c>
      <c r="AQ285" s="235" t="e">
        <f>IF(AP285+SUM($AQ$12:AQ284)&gt;=0,0,-AP285-SUM($AQ$12:AQ284))</f>
        <v>#DIV/0!</v>
      </c>
      <c r="AR285" s="235">
        <f>IF(SUM($N$13:N284)&gt;=pmo,IF(SUM(N284:$N$501)&gt;(1-pmo),B285,0),0)</f>
        <v>0</v>
      </c>
      <c r="AS285" s="235" t="e">
        <f>IF((SUM($U$13:$U284)/ntudv)&gt;=pmv,IF((SUM($U284:$U$501)/ntudv)&gt;(1-pmv),B285,0),0)</f>
        <v>#DIV/0!</v>
      </c>
      <c r="AT285" s="237" t="e">
        <f>IF(MAX(mmo,mmv)=mmo,IF(B285=AR285,(SUM(N$13:$N284)-pmo)/((1-VLOOKUP(MAX(mmo,mmv)-1,$B$13:$O$501,14))+(VLOOKUP(MAX(mmo,mmv)-1,$B$13:$O$501,14)-pmo)),N284/((1-VLOOKUP(MAX(mmo,mmv)-1,$B$13:$O$501,14)+(VLOOKUP(MAX(mmo,mmv)-1,$B$13:$O$501,14)-pmo)))),N284/(1-VLOOKUP(MAX(mmo,mmv)-2,$B$13:$O$501,14)))</f>
        <v>#DIV/0!</v>
      </c>
      <c r="AU285" s="101" t="e">
        <f t="shared" si="226"/>
        <v>#DIV/0!</v>
      </c>
      <c r="AV285" s="287" t="e">
        <f t="shared" si="227"/>
        <v>#DIV/0!</v>
      </c>
      <c r="AW285" s="235" t="e">
        <f t="shared" si="263"/>
        <v>#DIV/0!</v>
      </c>
      <c r="AX285" s="281">
        <f>IF(B285&gt;mpfo,0,IF(B285=mpfo,(vld-teo*(1+tcfo-incc)^(MAX(mmo,mmv)-mbfo))*-1,IF(SUM($N$13:N284)&gt;=pmo,IF(($V284/ntudv)&gt;=pmv,IF(B285=MAX(mmo,mmv),-teo*(1+tcfo-incc)^(B285-mbfo),0),0),0)))</f>
        <v>0</v>
      </c>
      <c r="AY285" s="292" t="e">
        <f t="shared" si="228"/>
        <v>#DIV/0!</v>
      </c>
      <c r="AZ285" s="235" t="e">
        <f t="shared" si="264"/>
        <v>#DIV/0!</v>
      </c>
      <c r="BA285" s="269" t="e">
        <f t="shared" si="265"/>
        <v>#DIV/0!</v>
      </c>
      <c r="BB285" s="292" t="e">
        <f t="shared" si="266"/>
        <v>#DIV/0!</v>
      </c>
      <c r="BC285" s="238" t="e">
        <f>IF(SUM($BC$13:BC284)&gt;0,0,IF(BB285&gt;0,B285,0))</f>
        <v>#DIV/0!</v>
      </c>
      <c r="BD285" s="292" t="e">
        <f>IF(BB285+SUM($BD$12:BD284)&gt;=0,0,-BB285-SUM($BD$12:BD284))</f>
        <v>#DIV/0!</v>
      </c>
      <c r="BE285" s="235" t="e">
        <f>BB285+SUM($BD$12:BD285)</f>
        <v>#DIV/0!</v>
      </c>
      <c r="BF285" s="292" t="e">
        <f>-MIN(BE285:$BE$501)-SUM(BF$12:$BF284)</f>
        <v>#DIV/0!</v>
      </c>
      <c r="BG285" s="235" t="e">
        <f t="shared" si="231"/>
        <v>#DIV/0!</v>
      </c>
    </row>
    <row r="286" spans="2:59">
      <c r="B286" s="246">
        <v>273</v>
      </c>
      <c r="C286" s="241">
        <f t="shared" si="230"/>
        <v>50987</v>
      </c>
      <c r="D286" s="229">
        <f t="shared" si="232"/>
        <v>8</v>
      </c>
      <c r="E286" s="230" t="str">
        <f t="shared" si="233"/>
        <v>-</v>
      </c>
      <c r="F286" s="231">
        <f t="shared" si="234"/>
        <v>0</v>
      </c>
      <c r="G286" s="231">
        <f t="shared" si="235"/>
        <v>0</v>
      </c>
      <c r="H286" s="231">
        <f t="shared" si="236"/>
        <v>0</v>
      </c>
      <c r="I286" s="268">
        <f t="shared" si="221"/>
        <v>0</v>
      </c>
      <c r="J286" s="269">
        <f t="shared" si="237"/>
        <v>0</v>
      </c>
      <c r="K286" s="269">
        <f t="shared" si="238"/>
        <v>0</v>
      </c>
      <c r="L286" s="269">
        <f t="shared" si="222"/>
        <v>0</v>
      </c>
      <c r="M286" s="269">
        <f t="shared" si="223"/>
        <v>0</v>
      </c>
      <c r="N286" s="233">
        <f>VLOOKUP(B286,Dados!$L$86:$P$90,5)</f>
        <v>0</v>
      </c>
      <c r="O286" s="270">
        <f t="shared" si="239"/>
        <v>0.99999999999999989</v>
      </c>
      <c r="P286" s="269">
        <f t="shared" si="240"/>
        <v>0</v>
      </c>
      <c r="Q286" s="269" t="e">
        <f t="shared" si="241"/>
        <v>#DIV/0!</v>
      </c>
      <c r="R286" s="269">
        <f t="shared" si="242"/>
        <v>0</v>
      </c>
      <c r="S286" s="269" t="e">
        <f t="shared" si="243"/>
        <v>#DIV/0!</v>
      </c>
      <c r="T286" s="269" t="e">
        <f t="shared" si="229"/>
        <v>#DIV/0!</v>
      </c>
      <c r="U286" s="234">
        <f t="shared" si="244"/>
        <v>0</v>
      </c>
      <c r="V286" s="232" t="e">
        <f t="shared" si="245"/>
        <v>#DIV/0!</v>
      </c>
      <c r="W286" s="269" t="e">
        <f t="shared" si="246"/>
        <v>#DIV/0!</v>
      </c>
      <c r="X286" s="235">
        <f t="shared" si="224"/>
        <v>0</v>
      </c>
      <c r="Y286" s="236">
        <f t="shared" si="247"/>
        <v>5</v>
      </c>
      <c r="Z286" s="236" t="e">
        <f t="shared" si="248"/>
        <v>#DIV/0!</v>
      </c>
      <c r="AA286" s="236">
        <f t="shared" si="249"/>
        <v>3</v>
      </c>
      <c r="AB286" s="236" t="e">
        <f t="shared" si="250"/>
        <v>#DIV/0!</v>
      </c>
      <c r="AC286" s="235">
        <f t="shared" si="251"/>
        <v>0</v>
      </c>
      <c r="AD286" s="235">
        <f t="shared" si="252"/>
        <v>0</v>
      </c>
      <c r="AE286" s="279">
        <f t="shared" si="253"/>
        <v>0</v>
      </c>
      <c r="AF286" s="232">
        <f t="shared" si="254"/>
        <v>0</v>
      </c>
      <c r="AG286" s="235">
        <f t="shared" si="255"/>
        <v>0</v>
      </c>
      <c r="AH286" s="269">
        <f t="shared" si="256"/>
        <v>0</v>
      </c>
      <c r="AI286" s="232">
        <f t="shared" si="257"/>
        <v>0</v>
      </c>
      <c r="AJ286" s="235">
        <f t="shared" si="258"/>
        <v>0</v>
      </c>
      <c r="AK286" s="269">
        <f t="shared" si="259"/>
        <v>0</v>
      </c>
      <c r="AL286" s="269">
        <f t="shared" si="225"/>
        <v>0</v>
      </c>
      <c r="AM286" s="281" t="e">
        <f>IF(B286&gt;=mpfo,pos*vvm*Dados!$E$122*(ntudv-SUM(U287:$U$301))-SUM($AM$13:AM285),0)</f>
        <v>#DIV/0!</v>
      </c>
      <c r="AN286" s="269" t="e">
        <f t="shared" si="260"/>
        <v>#DIV/0!</v>
      </c>
      <c r="AO286" s="232" t="e">
        <f t="shared" si="261"/>
        <v>#DIV/0!</v>
      </c>
      <c r="AP286" s="242" t="e">
        <f t="shared" si="262"/>
        <v>#DIV/0!</v>
      </c>
      <c r="AQ286" s="235" t="e">
        <f>IF(AP286+SUM($AQ$12:AQ285)&gt;=0,0,-AP286-SUM($AQ$12:AQ285))</f>
        <v>#DIV/0!</v>
      </c>
      <c r="AR286" s="235">
        <f>IF(SUM($N$13:N285)&gt;=pmo,IF(SUM(N285:$N$501)&gt;(1-pmo),B286,0),0)</f>
        <v>0</v>
      </c>
      <c r="AS286" s="235" t="e">
        <f>IF((SUM($U$13:$U285)/ntudv)&gt;=pmv,IF((SUM($U285:$U$501)/ntudv)&gt;(1-pmv),B286,0),0)</f>
        <v>#DIV/0!</v>
      </c>
      <c r="AT286" s="237" t="e">
        <f>IF(MAX(mmo,mmv)=mmo,IF(B286=AR286,(SUM(N$13:$N285)-pmo)/((1-VLOOKUP(MAX(mmo,mmv)-1,$B$13:$O$501,14))+(VLOOKUP(MAX(mmo,mmv)-1,$B$13:$O$501,14)-pmo)),N285/((1-VLOOKUP(MAX(mmo,mmv)-1,$B$13:$O$501,14)+(VLOOKUP(MAX(mmo,mmv)-1,$B$13:$O$501,14)-pmo)))),N285/(1-VLOOKUP(MAX(mmo,mmv)-2,$B$13:$O$501,14)))</f>
        <v>#DIV/0!</v>
      </c>
      <c r="AU286" s="101" t="e">
        <f t="shared" si="226"/>
        <v>#DIV/0!</v>
      </c>
      <c r="AV286" s="287" t="e">
        <f t="shared" si="227"/>
        <v>#DIV/0!</v>
      </c>
      <c r="AW286" s="235" t="e">
        <f t="shared" si="263"/>
        <v>#DIV/0!</v>
      </c>
      <c r="AX286" s="281">
        <f>IF(B286&gt;mpfo,0,IF(B286=mpfo,(vld-teo*(1+tcfo-incc)^(MAX(mmo,mmv)-mbfo))*-1,IF(SUM($N$13:N285)&gt;=pmo,IF(($V285/ntudv)&gt;=pmv,IF(B286=MAX(mmo,mmv),-teo*(1+tcfo-incc)^(B286-mbfo),0),0),0)))</f>
        <v>0</v>
      </c>
      <c r="AY286" s="292" t="e">
        <f t="shared" si="228"/>
        <v>#DIV/0!</v>
      </c>
      <c r="AZ286" s="235" t="e">
        <f t="shared" si="264"/>
        <v>#DIV/0!</v>
      </c>
      <c r="BA286" s="269" t="e">
        <f t="shared" si="265"/>
        <v>#DIV/0!</v>
      </c>
      <c r="BB286" s="292" t="e">
        <f t="shared" si="266"/>
        <v>#DIV/0!</v>
      </c>
      <c r="BC286" s="238" t="e">
        <f>IF(SUM($BC$13:BC285)&gt;0,0,IF(BB286&gt;0,B286,0))</f>
        <v>#DIV/0!</v>
      </c>
      <c r="BD286" s="292" t="e">
        <f>IF(BB286+SUM($BD$12:BD285)&gt;=0,0,-BB286-SUM($BD$12:BD285))</f>
        <v>#DIV/0!</v>
      </c>
      <c r="BE286" s="235" t="e">
        <f>BB286+SUM($BD$12:BD286)</f>
        <v>#DIV/0!</v>
      </c>
      <c r="BF286" s="292" t="e">
        <f>-MIN(BE286:$BE$501)-SUM(BF$12:$BF285)</f>
        <v>#DIV/0!</v>
      </c>
      <c r="BG286" s="235" t="e">
        <f t="shared" si="231"/>
        <v>#DIV/0!</v>
      </c>
    </row>
    <row r="287" spans="2:59">
      <c r="B287" s="120">
        <v>274</v>
      </c>
      <c r="C287" s="241">
        <f t="shared" si="230"/>
        <v>51018</v>
      </c>
      <c r="D287" s="229">
        <f t="shared" si="232"/>
        <v>9</v>
      </c>
      <c r="E287" s="230" t="str">
        <f t="shared" si="233"/>
        <v>-</v>
      </c>
      <c r="F287" s="231">
        <f t="shared" si="234"/>
        <v>0</v>
      </c>
      <c r="G287" s="231">
        <f t="shared" si="235"/>
        <v>0</v>
      </c>
      <c r="H287" s="231">
        <f t="shared" si="236"/>
        <v>0</v>
      </c>
      <c r="I287" s="268">
        <f t="shared" si="221"/>
        <v>0</v>
      </c>
      <c r="J287" s="269">
        <f t="shared" si="237"/>
        <v>0</v>
      </c>
      <c r="K287" s="269">
        <f t="shared" si="238"/>
        <v>0</v>
      </c>
      <c r="L287" s="269">
        <f t="shared" si="222"/>
        <v>0</v>
      </c>
      <c r="M287" s="269">
        <f t="shared" si="223"/>
        <v>0</v>
      </c>
      <c r="N287" s="233">
        <f>VLOOKUP(B287,Dados!$L$86:$P$90,5)</f>
        <v>0</v>
      </c>
      <c r="O287" s="270">
        <f t="shared" si="239"/>
        <v>0.99999999999999989</v>
      </c>
      <c r="P287" s="269">
        <f t="shared" si="240"/>
        <v>0</v>
      </c>
      <c r="Q287" s="269" t="e">
        <f t="shared" si="241"/>
        <v>#DIV/0!</v>
      </c>
      <c r="R287" s="269">
        <f t="shared" si="242"/>
        <v>0</v>
      </c>
      <c r="S287" s="269" t="e">
        <f t="shared" si="243"/>
        <v>#DIV/0!</v>
      </c>
      <c r="T287" s="269" t="e">
        <f t="shared" si="229"/>
        <v>#DIV/0!</v>
      </c>
      <c r="U287" s="234">
        <f t="shared" si="244"/>
        <v>0</v>
      </c>
      <c r="V287" s="232" t="e">
        <f t="shared" si="245"/>
        <v>#DIV/0!</v>
      </c>
      <c r="W287" s="269" t="e">
        <f t="shared" si="246"/>
        <v>#DIV/0!</v>
      </c>
      <c r="X287" s="235">
        <f t="shared" si="224"/>
        <v>0</v>
      </c>
      <c r="Y287" s="236">
        <f t="shared" si="247"/>
        <v>5</v>
      </c>
      <c r="Z287" s="236" t="e">
        <f t="shared" si="248"/>
        <v>#DIV/0!</v>
      </c>
      <c r="AA287" s="236">
        <f t="shared" si="249"/>
        <v>3</v>
      </c>
      <c r="AB287" s="236" t="e">
        <f t="shared" si="250"/>
        <v>#DIV/0!</v>
      </c>
      <c r="AC287" s="235">
        <f t="shared" si="251"/>
        <v>0</v>
      </c>
      <c r="AD287" s="235">
        <f t="shared" si="252"/>
        <v>0</v>
      </c>
      <c r="AE287" s="279">
        <f t="shared" si="253"/>
        <v>0</v>
      </c>
      <c r="AF287" s="232">
        <f t="shared" si="254"/>
        <v>0</v>
      </c>
      <c r="AG287" s="235">
        <f t="shared" si="255"/>
        <v>0</v>
      </c>
      <c r="AH287" s="269">
        <f t="shared" si="256"/>
        <v>0</v>
      </c>
      <c r="AI287" s="232">
        <f t="shared" si="257"/>
        <v>0</v>
      </c>
      <c r="AJ287" s="235">
        <f t="shared" si="258"/>
        <v>0</v>
      </c>
      <c r="AK287" s="269">
        <f t="shared" si="259"/>
        <v>0</v>
      </c>
      <c r="AL287" s="269">
        <f t="shared" si="225"/>
        <v>0</v>
      </c>
      <c r="AM287" s="281" t="e">
        <f>IF(B287&gt;=mpfo,pos*vvm*Dados!$E$122*(ntudv-SUM(U288:$U$301))-SUM($AM$13:AM286),0)</f>
        <v>#DIV/0!</v>
      </c>
      <c r="AN287" s="269" t="e">
        <f t="shared" si="260"/>
        <v>#DIV/0!</v>
      </c>
      <c r="AO287" s="232" t="e">
        <f t="shared" si="261"/>
        <v>#DIV/0!</v>
      </c>
      <c r="AP287" s="242" t="e">
        <f t="shared" si="262"/>
        <v>#DIV/0!</v>
      </c>
      <c r="AQ287" s="235" t="e">
        <f>IF(AP287+SUM($AQ$12:AQ286)&gt;=0,0,-AP287-SUM($AQ$12:AQ286))</f>
        <v>#DIV/0!</v>
      </c>
      <c r="AR287" s="235">
        <f>IF(SUM($N$13:N286)&gt;=pmo,IF(SUM(N286:$N$501)&gt;(1-pmo),B287,0),0)</f>
        <v>0</v>
      </c>
      <c r="AS287" s="235" t="e">
        <f>IF((SUM($U$13:$U286)/ntudv)&gt;=pmv,IF((SUM($U286:$U$501)/ntudv)&gt;(1-pmv),B287,0),0)</f>
        <v>#DIV/0!</v>
      </c>
      <c r="AT287" s="237" t="e">
        <f>IF(MAX(mmo,mmv)=mmo,IF(B287=AR287,(SUM(N$13:$N286)-pmo)/((1-VLOOKUP(MAX(mmo,mmv)-1,$B$13:$O$501,14))+(VLOOKUP(MAX(mmo,mmv)-1,$B$13:$O$501,14)-pmo)),N286/((1-VLOOKUP(MAX(mmo,mmv)-1,$B$13:$O$501,14)+(VLOOKUP(MAX(mmo,mmv)-1,$B$13:$O$501,14)-pmo)))),N286/(1-VLOOKUP(MAX(mmo,mmv)-2,$B$13:$O$501,14)))</f>
        <v>#DIV/0!</v>
      </c>
      <c r="AU287" s="101" t="e">
        <f t="shared" si="226"/>
        <v>#DIV/0!</v>
      </c>
      <c r="AV287" s="287" t="e">
        <f t="shared" si="227"/>
        <v>#DIV/0!</v>
      </c>
      <c r="AW287" s="235" t="e">
        <f t="shared" si="263"/>
        <v>#DIV/0!</v>
      </c>
      <c r="AX287" s="281">
        <f>IF(B287&gt;mpfo,0,IF(B287=mpfo,(vld-teo*(1+tcfo-incc)^(MAX(mmo,mmv)-mbfo))*-1,IF(SUM($N$13:N286)&gt;=pmo,IF(($V286/ntudv)&gt;=pmv,IF(B287=MAX(mmo,mmv),-teo*(1+tcfo-incc)^(B287-mbfo),0),0),0)))</f>
        <v>0</v>
      </c>
      <c r="AY287" s="292" t="e">
        <f t="shared" si="228"/>
        <v>#DIV/0!</v>
      </c>
      <c r="AZ287" s="235" t="e">
        <f t="shared" si="264"/>
        <v>#DIV/0!</v>
      </c>
      <c r="BA287" s="269" t="e">
        <f t="shared" si="265"/>
        <v>#DIV/0!</v>
      </c>
      <c r="BB287" s="292" t="e">
        <f t="shared" si="266"/>
        <v>#DIV/0!</v>
      </c>
      <c r="BC287" s="238" t="e">
        <f>IF(SUM($BC$13:BC286)&gt;0,0,IF(BB287&gt;0,B287,0))</f>
        <v>#DIV/0!</v>
      </c>
      <c r="BD287" s="292" t="e">
        <f>IF(BB287+SUM($BD$12:BD286)&gt;=0,0,-BB287-SUM($BD$12:BD286))</f>
        <v>#DIV/0!</v>
      </c>
      <c r="BE287" s="235" t="e">
        <f>BB287+SUM($BD$12:BD287)</f>
        <v>#DIV/0!</v>
      </c>
      <c r="BF287" s="292" t="e">
        <f>-MIN(BE287:$BE$501)-SUM(BF$12:$BF286)</f>
        <v>#DIV/0!</v>
      </c>
      <c r="BG287" s="235" t="e">
        <f t="shared" si="231"/>
        <v>#DIV/0!</v>
      </c>
    </row>
    <row r="288" spans="2:59">
      <c r="B288" s="246">
        <v>275</v>
      </c>
      <c r="C288" s="241">
        <f t="shared" si="230"/>
        <v>51048</v>
      </c>
      <c r="D288" s="229">
        <f t="shared" si="232"/>
        <v>10</v>
      </c>
      <c r="E288" s="230" t="str">
        <f t="shared" si="233"/>
        <v>-</v>
      </c>
      <c r="F288" s="231">
        <f t="shared" si="234"/>
        <v>0</v>
      </c>
      <c r="G288" s="231">
        <f t="shared" si="235"/>
        <v>0</v>
      </c>
      <c r="H288" s="231">
        <f t="shared" si="236"/>
        <v>0</v>
      </c>
      <c r="I288" s="268">
        <f t="shared" si="221"/>
        <v>0</v>
      </c>
      <c r="J288" s="269">
        <f t="shared" si="237"/>
        <v>0</v>
      </c>
      <c r="K288" s="269">
        <f t="shared" si="238"/>
        <v>0</v>
      </c>
      <c r="L288" s="269">
        <f t="shared" si="222"/>
        <v>0</v>
      </c>
      <c r="M288" s="269">
        <f t="shared" si="223"/>
        <v>0</v>
      </c>
      <c r="N288" s="233">
        <f>VLOOKUP(B288,Dados!$L$86:$P$90,5)</f>
        <v>0</v>
      </c>
      <c r="O288" s="270">
        <f t="shared" si="239"/>
        <v>0.99999999999999989</v>
      </c>
      <c r="P288" s="269">
        <f t="shared" si="240"/>
        <v>0</v>
      </c>
      <c r="Q288" s="269" t="e">
        <f t="shared" si="241"/>
        <v>#DIV/0!</v>
      </c>
      <c r="R288" s="269">
        <f t="shared" si="242"/>
        <v>0</v>
      </c>
      <c r="S288" s="269" t="e">
        <f t="shared" si="243"/>
        <v>#DIV/0!</v>
      </c>
      <c r="T288" s="269" t="e">
        <f t="shared" si="229"/>
        <v>#DIV/0!</v>
      </c>
      <c r="U288" s="234">
        <f t="shared" si="244"/>
        <v>0</v>
      </c>
      <c r="V288" s="232" t="e">
        <f t="shared" si="245"/>
        <v>#DIV/0!</v>
      </c>
      <c r="W288" s="269" t="e">
        <f t="shared" si="246"/>
        <v>#DIV/0!</v>
      </c>
      <c r="X288" s="235">
        <f t="shared" si="224"/>
        <v>0</v>
      </c>
      <c r="Y288" s="236">
        <f t="shared" si="247"/>
        <v>5</v>
      </c>
      <c r="Z288" s="236" t="e">
        <f t="shared" si="248"/>
        <v>#DIV/0!</v>
      </c>
      <c r="AA288" s="236">
        <f t="shared" si="249"/>
        <v>3</v>
      </c>
      <c r="AB288" s="236" t="e">
        <f t="shared" si="250"/>
        <v>#DIV/0!</v>
      </c>
      <c r="AC288" s="235">
        <f t="shared" si="251"/>
        <v>0</v>
      </c>
      <c r="AD288" s="235">
        <f t="shared" si="252"/>
        <v>0</v>
      </c>
      <c r="AE288" s="279">
        <f t="shared" si="253"/>
        <v>0</v>
      </c>
      <c r="AF288" s="232">
        <f t="shared" si="254"/>
        <v>0</v>
      </c>
      <c r="AG288" s="235">
        <f t="shared" si="255"/>
        <v>0</v>
      </c>
      <c r="AH288" s="269">
        <f t="shared" si="256"/>
        <v>0</v>
      </c>
      <c r="AI288" s="232">
        <f t="shared" si="257"/>
        <v>0</v>
      </c>
      <c r="AJ288" s="235">
        <f t="shared" si="258"/>
        <v>0</v>
      </c>
      <c r="AK288" s="269">
        <f t="shared" si="259"/>
        <v>0</v>
      </c>
      <c r="AL288" s="269">
        <f t="shared" si="225"/>
        <v>0</v>
      </c>
      <c r="AM288" s="281" t="e">
        <f>IF(B288&gt;=mpfo,pos*vvm*Dados!$E$122*(ntudv-SUM(U289:$U$301))-SUM($AM$13:AM287),0)</f>
        <v>#DIV/0!</v>
      </c>
      <c r="AN288" s="269" t="e">
        <f t="shared" si="260"/>
        <v>#DIV/0!</v>
      </c>
      <c r="AO288" s="232" t="e">
        <f t="shared" si="261"/>
        <v>#DIV/0!</v>
      </c>
      <c r="AP288" s="242" t="e">
        <f t="shared" si="262"/>
        <v>#DIV/0!</v>
      </c>
      <c r="AQ288" s="235" t="e">
        <f>IF(AP288+SUM($AQ$12:AQ287)&gt;=0,0,-AP288-SUM($AQ$12:AQ287))</f>
        <v>#DIV/0!</v>
      </c>
      <c r="AR288" s="235">
        <f>IF(SUM($N$13:N287)&gt;=pmo,IF(SUM(N287:$N$501)&gt;(1-pmo),B288,0),0)</f>
        <v>0</v>
      </c>
      <c r="AS288" s="235" t="e">
        <f>IF((SUM($U$13:$U287)/ntudv)&gt;=pmv,IF((SUM($U287:$U$501)/ntudv)&gt;(1-pmv),B288,0),0)</f>
        <v>#DIV/0!</v>
      </c>
      <c r="AT288" s="237" t="e">
        <f>IF(MAX(mmo,mmv)=mmo,IF(B288=AR288,(SUM(N$13:$N287)-pmo)/((1-VLOOKUP(MAX(mmo,mmv)-1,$B$13:$O$501,14))+(VLOOKUP(MAX(mmo,mmv)-1,$B$13:$O$501,14)-pmo)),N287/((1-VLOOKUP(MAX(mmo,mmv)-1,$B$13:$O$501,14)+(VLOOKUP(MAX(mmo,mmv)-1,$B$13:$O$501,14)-pmo)))),N287/(1-VLOOKUP(MAX(mmo,mmv)-2,$B$13:$O$501,14)))</f>
        <v>#DIV/0!</v>
      </c>
      <c r="AU288" s="101" t="e">
        <f t="shared" si="226"/>
        <v>#DIV/0!</v>
      </c>
      <c r="AV288" s="287" t="e">
        <f t="shared" si="227"/>
        <v>#DIV/0!</v>
      </c>
      <c r="AW288" s="235" t="e">
        <f t="shared" si="263"/>
        <v>#DIV/0!</v>
      </c>
      <c r="AX288" s="281">
        <f>IF(B288&gt;mpfo,0,IF(B288=mpfo,(vld-teo*(1+tcfo-incc)^(MAX(mmo,mmv)-mbfo))*-1,IF(SUM($N$13:N287)&gt;=pmo,IF(($V287/ntudv)&gt;=pmv,IF(B288=MAX(mmo,mmv),-teo*(1+tcfo-incc)^(B288-mbfo),0),0),0)))</f>
        <v>0</v>
      </c>
      <c r="AY288" s="292" t="e">
        <f t="shared" si="228"/>
        <v>#DIV/0!</v>
      </c>
      <c r="AZ288" s="235" t="e">
        <f t="shared" si="264"/>
        <v>#DIV/0!</v>
      </c>
      <c r="BA288" s="269" t="e">
        <f t="shared" si="265"/>
        <v>#DIV/0!</v>
      </c>
      <c r="BB288" s="292" t="e">
        <f t="shared" si="266"/>
        <v>#DIV/0!</v>
      </c>
      <c r="BC288" s="238" t="e">
        <f>IF(SUM($BC$13:BC287)&gt;0,0,IF(BB288&gt;0,B288,0))</f>
        <v>#DIV/0!</v>
      </c>
      <c r="BD288" s="292" t="e">
        <f>IF(BB288+SUM($BD$12:BD287)&gt;=0,0,-BB288-SUM($BD$12:BD287))</f>
        <v>#DIV/0!</v>
      </c>
      <c r="BE288" s="235" t="e">
        <f>BB288+SUM($BD$12:BD288)</f>
        <v>#DIV/0!</v>
      </c>
      <c r="BF288" s="292" t="e">
        <f>-MIN(BE288:$BE$501)-SUM(BF$12:$BF287)</f>
        <v>#DIV/0!</v>
      </c>
      <c r="BG288" s="235" t="e">
        <f t="shared" si="231"/>
        <v>#DIV/0!</v>
      </c>
    </row>
    <row r="289" spans="2:59">
      <c r="B289" s="120">
        <v>276</v>
      </c>
      <c r="C289" s="241">
        <f t="shared" si="230"/>
        <v>51079</v>
      </c>
      <c r="D289" s="229">
        <f t="shared" si="232"/>
        <v>11</v>
      </c>
      <c r="E289" s="230" t="str">
        <f t="shared" si="233"/>
        <v>-</v>
      </c>
      <c r="F289" s="231">
        <f t="shared" si="234"/>
        <v>0</v>
      </c>
      <c r="G289" s="231">
        <f t="shared" si="235"/>
        <v>0</v>
      </c>
      <c r="H289" s="231">
        <f t="shared" si="236"/>
        <v>0</v>
      </c>
      <c r="I289" s="268">
        <f t="shared" si="221"/>
        <v>0</v>
      </c>
      <c r="J289" s="269">
        <f t="shared" si="237"/>
        <v>0</v>
      </c>
      <c r="K289" s="269">
        <f t="shared" si="238"/>
        <v>0</v>
      </c>
      <c r="L289" s="269">
        <f t="shared" si="222"/>
        <v>0</v>
      </c>
      <c r="M289" s="269">
        <f t="shared" si="223"/>
        <v>0</v>
      </c>
      <c r="N289" s="233">
        <f>VLOOKUP(B289,Dados!$L$86:$P$90,5)</f>
        <v>0</v>
      </c>
      <c r="O289" s="270">
        <f t="shared" si="239"/>
        <v>0.99999999999999989</v>
      </c>
      <c r="P289" s="269">
        <f t="shared" si="240"/>
        <v>0</v>
      </c>
      <c r="Q289" s="269" t="e">
        <f t="shared" si="241"/>
        <v>#DIV/0!</v>
      </c>
      <c r="R289" s="269">
        <f t="shared" si="242"/>
        <v>0</v>
      </c>
      <c r="S289" s="269" t="e">
        <f t="shared" si="243"/>
        <v>#DIV/0!</v>
      </c>
      <c r="T289" s="269" t="e">
        <f t="shared" si="229"/>
        <v>#DIV/0!</v>
      </c>
      <c r="U289" s="234">
        <f t="shared" si="244"/>
        <v>0</v>
      </c>
      <c r="V289" s="232" t="e">
        <f t="shared" si="245"/>
        <v>#DIV/0!</v>
      </c>
      <c r="W289" s="269" t="e">
        <f t="shared" si="246"/>
        <v>#DIV/0!</v>
      </c>
      <c r="X289" s="235">
        <f t="shared" si="224"/>
        <v>0</v>
      </c>
      <c r="Y289" s="236">
        <f t="shared" si="247"/>
        <v>5</v>
      </c>
      <c r="Z289" s="236" t="e">
        <f t="shared" si="248"/>
        <v>#DIV/0!</v>
      </c>
      <c r="AA289" s="236">
        <f t="shared" si="249"/>
        <v>3</v>
      </c>
      <c r="AB289" s="236" t="e">
        <f t="shared" si="250"/>
        <v>#DIV/0!</v>
      </c>
      <c r="AC289" s="235">
        <f t="shared" si="251"/>
        <v>0</v>
      </c>
      <c r="AD289" s="235">
        <f t="shared" si="252"/>
        <v>0</v>
      </c>
      <c r="AE289" s="279">
        <f t="shared" si="253"/>
        <v>0</v>
      </c>
      <c r="AF289" s="232">
        <f t="shared" si="254"/>
        <v>0</v>
      </c>
      <c r="AG289" s="235">
        <f t="shared" si="255"/>
        <v>0</v>
      </c>
      <c r="AH289" s="269">
        <f t="shared" si="256"/>
        <v>0</v>
      </c>
      <c r="AI289" s="232">
        <f t="shared" si="257"/>
        <v>0</v>
      </c>
      <c r="AJ289" s="235">
        <f t="shared" si="258"/>
        <v>0</v>
      </c>
      <c r="AK289" s="269">
        <f t="shared" si="259"/>
        <v>0</v>
      </c>
      <c r="AL289" s="269">
        <f t="shared" si="225"/>
        <v>0</v>
      </c>
      <c r="AM289" s="281" t="e">
        <f>IF(B289&gt;=mpfo,pos*vvm*Dados!$E$122*(ntudv-SUM(U290:$U$301))-SUM($AM$13:AM288),0)</f>
        <v>#DIV/0!</v>
      </c>
      <c r="AN289" s="269" t="e">
        <f t="shared" si="260"/>
        <v>#DIV/0!</v>
      </c>
      <c r="AO289" s="232" t="e">
        <f t="shared" si="261"/>
        <v>#DIV/0!</v>
      </c>
      <c r="AP289" s="242" t="e">
        <f t="shared" si="262"/>
        <v>#DIV/0!</v>
      </c>
      <c r="AQ289" s="235" t="e">
        <f>IF(AP289+SUM($AQ$12:AQ288)&gt;=0,0,-AP289-SUM($AQ$12:AQ288))</f>
        <v>#DIV/0!</v>
      </c>
      <c r="AR289" s="235">
        <f>IF(SUM($N$13:N288)&gt;=pmo,IF(SUM(N288:$N$501)&gt;(1-pmo),B289,0),0)</f>
        <v>0</v>
      </c>
      <c r="AS289" s="235" t="e">
        <f>IF((SUM($U$13:$U288)/ntudv)&gt;=pmv,IF((SUM($U288:$U$501)/ntudv)&gt;(1-pmv),B289,0),0)</f>
        <v>#DIV/0!</v>
      </c>
      <c r="AT289" s="237" t="e">
        <f>IF(MAX(mmo,mmv)=mmo,IF(B289=AR289,(SUM(N$13:$N288)-pmo)/((1-VLOOKUP(MAX(mmo,mmv)-1,$B$13:$O$501,14))+(VLOOKUP(MAX(mmo,mmv)-1,$B$13:$O$501,14)-pmo)),N288/((1-VLOOKUP(MAX(mmo,mmv)-1,$B$13:$O$501,14)+(VLOOKUP(MAX(mmo,mmv)-1,$B$13:$O$501,14)-pmo)))),N288/(1-VLOOKUP(MAX(mmo,mmv)-2,$B$13:$O$501,14)))</f>
        <v>#DIV/0!</v>
      </c>
      <c r="AU289" s="101" t="e">
        <f t="shared" si="226"/>
        <v>#DIV/0!</v>
      </c>
      <c r="AV289" s="287" t="e">
        <f t="shared" si="227"/>
        <v>#DIV/0!</v>
      </c>
      <c r="AW289" s="235" t="e">
        <f t="shared" si="263"/>
        <v>#DIV/0!</v>
      </c>
      <c r="AX289" s="281">
        <f>IF(B289&gt;mpfo,0,IF(B289=mpfo,(vld-teo*(1+tcfo-incc)^(MAX(mmo,mmv)-mbfo))*-1,IF(SUM($N$13:N288)&gt;=pmo,IF(($V288/ntudv)&gt;=pmv,IF(B289=MAX(mmo,mmv),-teo*(1+tcfo-incc)^(B289-mbfo),0),0),0)))</f>
        <v>0</v>
      </c>
      <c r="AY289" s="292" t="e">
        <f t="shared" si="228"/>
        <v>#DIV/0!</v>
      </c>
      <c r="AZ289" s="235" t="e">
        <f t="shared" si="264"/>
        <v>#DIV/0!</v>
      </c>
      <c r="BA289" s="269" t="e">
        <f t="shared" si="265"/>
        <v>#DIV/0!</v>
      </c>
      <c r="BB289" s="292" t="e">
        <f t="shared" si="266"/>
        <v>#DIV/0!</v>
      </c>
      <c r="BC289" s="238" t="e">
        <f>IF(SUM($BC$13:BC288)&gt;0,0,IF(BB289&gt;0,B289,0))</f>
        <v>#DIV/0!</v>
      </c>
      <c r="BD289" s="292" t="e">
        <f>IF(BB289+SUM($BD$12:BD288)&gt;=0,0,-BB289-SUM($BD$12:BD288))</f>
        <v>#DIV/0!</v>
      </c>
      <c r="BE289" s="235" t="e">
        <f>BB289+SUM($BD$12:BD289)</f>
        <v>#DIV/0!</v>
      </c>
      <c r="BF289" s="292" t="e">
        <f>-MIN(BE289:$BE$501)-SUM(BF$12:$BF288)</f>
        <v>#DIV/0!</v>
      </c>
      <c r="BG289" s="235" t="e">
        <f t="shared" si="231"/>
        <v>#DIV/0!</v>
      </c>
    </row>
    <row r="290" spans="2:59">
      <c r="B290" s="246">
        <v>277</v>
      </c>
      <c r="C290" s="241">
        <f t="shared" si="230"/>
        <v>51109</v>
      </c>
      <c r="D290" s="229">
        <f t="shared" si="232"/>
        <v>12</v>
      </c>
      <c r="E290" s="230" t="str">
        <f t="shared" si="233"/>
        <v>-</v>
      </c>
      <c r="F290" s="231">
        <f t="shared" si="234"/>
        <v>0</v>
      </c>
      <c r="G290" s="231">
        <f t="shared" si="235"/>
        <v>0</v>
      </c>
      <c r="H290" s="231">
        <f t="shared" si="236"/>
        <v>0</v>
      </c>
      <c r="I290" s="268">
        <f t="shared" si="221"/>
        <v>0</v>
      </c>
      <c r="J290" s="269">
        <f t="shared" si="237"/>
        <v>0</v>
      </c>
      <c r="K290" s="269">
        <f t="shared" si="238"/>
        <v>0</v>
      </c>
      <c r="L290" s="269">
        <f t="shared" si="222"/>
        <v>0</v>
      </c>
      <c r="M290" s="269">
        <f t="shared" si="223"/>
        <v>0</v>
      </c>
      <c r="N290" s="233">
        <f>VLOOKUP(B290,Dados!$L$86:$P$90,5)</f>
        <v>0</v>
      </c>
      <c r="O290" s="270">
        <f t="shared" si="239"/>
        <v>0.99999999999999989</v>
      </c>
      <c r="P290" s="269">
        <f t="shared" si="240"/>
        <v>0</v>
      </c>
      <c r="Q290" s="269" t="e">
        <f t="shared" si="241"/>
        <v>#DIV/0!</v>
      </c>
      <c r="R290" s="269">
        <f t="shared" si="242"/>
        <v>0</v>
      </c>
      <c r="S290" s="269" t="e">
        <f t="shared" si="243"/>
        <v>#DIV/0!</v>
      </c>
      <c r="T290" s="269" t="e">
        <f t="shared" si="229"/>
        <v>#DIV/0!</v>
      </c>
      <c r="U290" s="234">
        <f t="shared" si="244"/>
        <v>0</v>
      </c>
      <c r="V290" s="232" t="e">
        <f t="shared" si="245"/>
        <v>#DIV/0!</v>
      </c>
      <c r="W290" s="269" t="e">
        <f t="shared" si="246"/>
        <v>#DIV/0!</v>
      </c>
      <c r="X290" s="235">
        <f t="shared" si="224"/>
        <v>0</v>
      </c>
      <c r="Y290" s="236">
        <f t="shared" si="247"/>
        <v>5</v>
      </c>
      <c r="Z290" s="236" t="e">
        <f t="shared" si="248"/>
        <v>#DIV/0!</v>
      </c>
      <c r="AA290" s="236">
        <f t="shared" si="249"/>
        <v>3</v>
      </c>
      <c r="AB290" s="236" t="e">
        <f t="shared" si="250"/>
        <v>#DIV/0!</v>
      </c>
      <c r="AC290" s="235">
        <f t="shared" si="251"/>
        <v>0</v>
      </c>
      <c r="AD290" s="235">
        <f t="shared" si="252"/>
        <v>0</v>
      </c>
      <c r="AE290" s="279">
        <f t="shared" si="253"/>
        <v>0</v>
      </c>
      <c r="AF290" s="232">
        <f t="shared" si="254"/>
        <v>1</v>
      </c>
      <c r="AG290" s="235">
        <f t="shared" si="255"/>
        <v>0</v>
      </c>
      <c r="AH290" s="269">
        <f t="shared" si="256"/>
        <v>0</v>
      </c>
      <c r="AI290" s="232">
        <f t="shared" si="257"/>
        <v>1</v>
      </c>
      <c r="AJ290" s="235">
        <f t="shared" si="258"/>
        <v>0</v>
      </c>
      <c r="AK290" s="269">
        <f t="shared" si="259"/>
        <v>0</v>
      </c>
      <c r="AL290" s="269">
        <f t="shared" si="225"/>
        <v>0</v>
      </c>
      <c r="AM290" s="281" t="e">
        <f>IF(B290&gt;=mpfo,pos*vvm*Dados!$E$122*(ntudv-SUM(U291:$U$301))-SUM($AM$13:AM289),0)</f>
        <v>#DIV/0!</v>
      </c>
      <c r="AN290" s="269" t="e">
        <f t="shared" si="260"/>
        <v>#DIV/0!</v>
      </c>
      <c r="AO290" s="232" t="e">
        <f t="shared" si="261"/>
        <v>#DIV/0!</v>
      </c>
      <c r="AP290" s="242" t="e">
        <f t="shared" si="262"/>
        <v>#DIV/0!</v>
      </c>
      <c r="AQ290" s="235" t="e">
        <f>IF(AP290+SUM($AQ$12:AQ289)&gt;=0,0,-AP290-SUM($AQ$12:AQ289))</f>
        <v>#DIV/0!</v>
      </c>
      <c r="AR290" s="235">
        <f>IF(SUM($N$13:N289)&gt;=pmo,IF(SUM(N289:$N$501)&gt;(1-pmo),B290,0),0)</f>
        <v>0</v>
      </c>
      <c r="AS290" s="235" t="e">
        <f>IF((SUM($U$13:$U289)/ntudv)&gt;=pmv,IF((SUM($U289:$U$501)/ntudv)&gt;(1-pmv),B290,0),0)</f>
        <v>#DIV/0!</v>
      </c>
      <c r="AT290" s="237" t="e">
        <f>IF(MAX(mmo,mmv)=mmo,IF(B290=AR290,(SUM(N$13:$N289)-pmo)/((1-VLOOKUP(MAX(mmo,mmv)-1,$B$13:$O$501,14))+(VLOOKUP(MAX(mmo,mmv)-1,$B$13:$O$501,14)-pmo)),N289/((1-VLOOKUP(MAX(mmo,mmv)-1,$B$13:$O$501,14)+(VLOOKUP(MAX(mmo,mmv)-1,$B$13:$O$501,14)-pmo)))),N289/(1-VLOOKUP(MAX(mmo,mmv)-2,$B$13:$O$501,14)))</f>
        <v>#DIV/0!</v>
      </c>
      <c r="AU290" s="101" t="e">
        <f t="shared" si="226"/>
        <v>#DIV/0!</v>
      </c>
      <c r="AV290" s="287" t="e">
        <f t="shared" si="227"/>
        <v>#DIV/0!</v>
      </c>
      <c r="AW290" s="235" t="e">
        <f t="shared" si="263"/>
        <v>#DIV/0!</v>
      </c>
      <c r="AX290" s="281">
        <f>IF(B290&gt;mpfo,0,IF(B290=mpfo,(vld-teo*(1+tcfo-incc)^(MAX(mmo,mmv)-mbfo))*-1,IF(SUM($N$13:N289)&gt;=pmo,IF(($V289/ntudv)&gt;=pmv,IF(B290=MAX(mmo,mmv),-teo*(1+tcfo-incc)^(B290-mbfo),0),0),0)))</f>
        <v>0</v>
      </c>
      <c r="AY290" s="292" t="e">
        <f t="shared" si="228"/>
        <v>#DIV/0!</v>
      </c>
      <c r="AZ290" s="235" t="e">
        <f t="shared" si="264"/>
        <v>#DIV/0!</v>
      </c>
      <c r="BA290" s="269" t="e">
        <f t="shared" si="265"/>
        <v>#DIV/0!</v>
      </c>
      <c r="BB290" s="292" t="e">
        <f t="shared" si="266"/>
        <v>#DIV/0!</v>
      </c>
      <c r="BC290" s="238" t="e">
        <f>IF(SUM($BC$13:BC289)&gt;0,0,IF(BB290&gt;0,B290,0))</f>
        <v>#DIV/0!</v>
      </c>
      <c r="BD290" s="292" t="e">
        <f>IF(BB290+SUM($BD$12:BD289)&gt;=0,0,-BB290-SUM($BD$12:BD289))</f>
        <v>#DIV/0!</v>
      </c>
      <c r="BE290" s="235" t="e">
        <f>BB290+SUM($BD$12:BD290)</f>
        <v>#DIV/0!</v>
      </c>
      <c r="BF290" s="292" t="e">
        <f>-MIN(BE290:$BE$501)-SUM(BF$12:$BF289)</f>
        <v>#DIV/0!</v>
      </c>
      <c r="BG290" s="235" t="e">
        <f t="shared" si="231"/>
        <v>#DIV/0!</v>
      </c>
    </row>
    <row r="291" spans="2:59">
      <c r="B291" s="120">
        <v>278</v>
      </c>
      <c r="C291" s="241">
        <f t="shared" si="230"/>
        <v>51140</v>
      </c>
      <c r="D291" s="229">
        <f t="shared" si="232"/>
        <v>1</v>
      </c>
      <c r="E291" s="230" t="str">
        <f t="shared" si="233"/>
        <v>-</v>
      </c>
      <c r="F291" s="231">
        <f t="shared" si="234"/>
        <v>0</v>
      </c>
      <c r="G291" s="231">
        <f t="shared" si="235"/>
        <v>0</v>
      </c>
      <c r="H291" s="231">
        <f t="shared" si="236"/>
        <v>0</v>
      </c>
      <c r="I291" s="268">
        <f t="shared" si="221"/>
        <v>0</v>
      </c>
      <c r="J291" s="269">
        <f t="shared" si="237"/>
        <v>0</v>
      </c>
      <c r="K291" s="269">
        <f t="shared" si="238"/>
        <v>0</v>
      </c>
      <c r="L291" s="269">
        <f t="shared" si="222"/>
        <v>0</v>
      </c>
      <c r="M291" s="269">
        <f t="shared" si="223"/>
        <v>0</v>
      </c>
      <c r="N291" s="233">
        <f>VLOOKUP(B291,Dados!$L$86:$P$90,5)</f>
        <v>0</v>
      </c>
      <c r="O291" s="270">
        <f t="shared" si="239"/>
        <v>0.99999999999999989</v>
      </c>
      <c r="P291" s="269">
        <f t="shared" si="240"/>
        <v>0</v>
      </c>
      <c r="Q291" s="269" t="e">
        <f t="shared" si="241"/>
        <v>#DIV/0!</v>
      </c>
      <c r="R291" s="269">
        <f t="shared" si="242"/>
        <v>0</v>
      </c>
      <c r="S291" s="269" t="e">
        <f t="shared" si="243"/>
        <v>#DIV/0!</v>
      </c>
      <c r="T291" s="269" t="e">
        <f t="shared" si="229"/>
        <v>#DIV/0!</v>
      </c>
      <c r="U291" s="234">
        <f t="shared" si="244"/>
        <v>0</v>
      </c>
      <c r="V291" s="232" t="e">
        <f t="shared" si="245"/>
        <v>#DIV/0!</v>
      </c>
      <c r="W291" s="269" t="e">
        <f t="shared" si="246"/>
        <v>#DIV/0!</v>
      </c>
      <c r="X291" s="235">
        <f t="shared" si="224"/>
        <v>0</v>
      </c>
      <c r="Y291" s="236">
        <f t="shared" si="247"/>
        <v>5</v>
      </c>
      <c r="Z291" s="236" t="e">
        <f t="shared" si="248"/>
        <v>#DIV/0!</v>
      </c>
      <c r="AA291" s="236">
        <f t="shared" si="249"/>
        <v>3</v>
      </c>
      <c r="AB291" s="236" t="e">
        <f t="shared" si="250"/>
        <v>#DIV/0!</v>
      </c>
      <c r="AC291" s="235">
        <f t="shared" si="251"/>
        <v>0</v>
      </c>
      <c r="AD291" s="235">
        <f t="shared" si="252"/>
        <v>0</v>
      </c>
      <c r="AE291" s="279">
        <f t="shared" si="253"/>
        <v>0</v>
      </c>
      <c r="AF291" s="232">
        <f t="shared" si="254"/>
        <v>0</v>
      </c>
      <c r="AG291" s="235">
        <f t="shared" si="255"/>
        <v>0</v>
      </c>
      <c r="AH291" s="269">
        <f t="shared" si="256"/>
        <v>0</v>
      </c>
      <c r="AI291" s="232">
        <f t="shared" si="257"/>
        <v>0</v>
      </c>
      <c r="AJ291" s="235">
        <f t="shared" si="258"/>
        <v>0</v>
      </c>
      <c r="AK291" s="269">
        <f t="shared" si="259"/>
        <v>0</v>
      </c>
      <c r="AL291" s="269">
        <f t="shared" si="225"/>
        <v>0</v>
      </c>
      <c r="AM291" s="281" t="e">
        <f>IF(B291&gt;=mpfo,pos*vvm*Dados!$E$122*(ntudv-SUM(U292:$U$301))-SUM($AM$13:AM290),0)</f>
        <v>#DIV/0!</v>
      </c>
      <c r="AN291" s="269" t="e">
        <f t="shared" si="260"/>
        <v>#DIV/0!</v>
      </c>
      <c r="AO291" s="232" t="e">
        <f t="shared" si="261"/>
        <v>#DIV/0!</v>
      </c>
      <c r="AP291" s="242" t="e">
        <f t="shared" si="262"/>
        <v>#DIV/0!</v>
      </c>
      <c r="AQ291" s="235" t="e">
        <f>IF(AP291+SUM($AQ$12:AQ290)&gt;=0,0,-AP291-SUM($AQ$12:AQ290))</f>
        <v>#DIV/0!</v>
      </c>
      <c r="AR291" s="235">
        <f>IF(SUM($N$13:N290)&gt;=pmo,IF(SUM(N290:$N$501)&gt;(1-pmo),B291,0),0)</f>
        <v>0</v>
      </c>
      <c r="AS291" s="235" t="e">
        <f>IF((SUM($U$13:$U290)/ntudv)&gt;=pmv,IF((SUM($U290:$U$501)/ntudv)&gt;(1-pmv),B291,0),0)</f>
        <v>#DIV/0!</v>
      </c>
      <c r="AT291" s="237" t="e">
        <f>IF(MAX(mmo,mmv)=mmo,IF(B291=AR291,(SUM(N$13:$N290)-pmo)/((1-VLOOKUP(MAX(mmo,mmv)-1,$B$13:$O$501,14))+(VLOOKUP(MAX(mmo,mmv)-1,$B$13:$O$501,14)-pmo)),N290/((1-VLOOKUP(MAX(mmo,mmv)-1,$B$13:$O$501,14)+(VLOOKUP(MAX(mmo,mmv)-1,$B$13:$O$501,14)-pmo)))),N290/(1-VLOOKUP(MAX(mmo,mmv)-2,$B$13:$O$501,14)))</f>
        <v>#DIV/0!</v>
      </c>
      <c r="AU291" s="101" t="e">
        <f t="shared" si="226"/>
        <v>#DIV/0!</v>
      </c>
      <c r="AV291" s="287" t="e">
        <f t="shared" si="227"/>
        <v>#DIV/0!</v>
      </c>
      <c r="AW291" s="235" t="e">
        <f t="shared" si="263"/>
        <v>#DIV/0!</v>
      </c>
      <c r="AX291" s="281">
        <f>IF(B291&gt;mpfo,0,IF(B291=mpfo,(vld-teo*(1+tcfo-incc)^(MAX(mmo,mmv)-mbfo))*-1,IF(SUM($N$13:N290)&gt;=pmo,IF(($V290/ntudv)&gt;=pmv,IF(B291=MAX(mmo,mmv),-teo*(1+tcfo-incc)^(B291-mbfo),0),0),0)))</f>
        <v>0</v>
      </c>
      <c r="AY291" s="292" t="e">
        <f t="shared" si="228"/>
        <v>#DIV/0!</v>
      </c>
      <c r="AZ291" s="235" t="e">
        <f t="shared" si="264"/>
        <v>#DIV/0!</v>
      </c>
      <c r="BA291" s="269" t="e">
        <f t="shared" si="265"/>
        <v>#DIV/0!</v>
      </c>
      <c r="BB291" s="292" t="e">
        <f t="shared" si="266"/>
        <v>#DIV/0!</v>
      </c>
      <c r="BC291" s="238" t="e">
        <f>IF(SUM($BC$13:BC290)&gt;0,0,IF(BB291&gt;0,B291,0))</f>
        <v>#DIV/0!</v>
      </c>
      <c r="BD291" s="292" t="e">
        <f>IF(BB291+SUM($BD$12:BD290)&gt;=0,0,-BB291-SUM($BD$12:BD290))</f>
        <v>#DIV/0!</v>
      </c>
      <c r="BE291" s="235" t="e">
        <f>BB291+SUM($BD$12:BD291)</f>
        <v>#DIV/0!</v>
      </c>
      <c r="BF291" s="292" t="e">
        <f>-MIN(BE291:$BE$501)-SUM(BF$12:$BF290)</f>
        <v>#DIV/0!</v>
      </c>
      <c r="BG291" s="235" t="e">
        <f t="shared" si="231"/>
        <v>#DIV/0!</v>
      </c>
    </row>
    <row r="292" spans="2:59">
      <c r="B292" s="246">
        <v>279</v>
      </c>
      <c r="C292" s="241">
        <f t="shared" si="230"/>
        <v>51171</v>
      </c>
      <c r="D292" s="229">
        <f t="shared" si="232"/>
        <v>2</v>
      </c>
      <c r="E292" s="230" t="str">
        <f t="shared" si="233"/>
        <v>-</v>
      </c>
      <c r="F292" s="231">
        <f t="shared" si="234"/>
        <v>0</v>
      </c>
      <c r="G292" s="231">
        <f t="shared" si="235"/>
        <v>0</v>
      </c>
      <c r="H292" s="231">
        <f t="shared" si="236"/>
        <v>0</v>
      </c>
      <c r="I292" s="268">
        <f t="shared" si="221"/>
        <v>0</v>
      </c>
      <c r="J292" s="269">
        <f t="shared" si="237"/>
        <v>0</v>
      </c>
      <c r="K292" s="269">
        <f t="shared" si="238"/>
        <v>0</v>
      </c>
      <c r="L292" s="269">
        <f t="shared" si="222"/>
        <v>0</v>
      </c>
      <c r="M292" s="269">
        <f t="shared" si="223"/>
        <v>0</v>
      </c>
      <c r="N292" s="233">
        <f>VLOOKUP(B292,Dados!$L$86:$P$90,5)</f>
        <v>0</v>
      </c>
      <c r="O292" s="270">
        <f t="shared" si="239"/>
        <v>0.99999999999999989</v>
      </c>
      <c r="P292" s="269">
        <f t="shared" si="240"/>
        <v>0</v>
      </c>
      <c r="Q292" s="269" t="e">
        <f t="shared" si="241"/>
        <v>#DIV/0!</v>
      </c>
      <c r="R292" s="269">
        <f t="shared" si="242"/>
        <v>0</v>
      </c>
      <c r="S292" s="269" t="e">
        <f t="shared" si="243"/>
        <v>#DIV/0!</v>
      </c>
      <c r="T292" s="269" t="e">
        <f t="shared" si="229"/>
        <v>#DIV/0!</v>
      </c>
      <c r="U292" s="234">
        <f t="shared" si="244"/>
        <v>0</v>
      </c>
      <c r="V292" s="232" t="e">
        <f t="shared" si="245"/>
        <v>#DIV/0!</v>
      </c>
      <c r="W292" s="269" t="e">
        <f t="shared" si="246"/>
        <v>#DIV/0!</v>
      </c>
      <c r="X292" s="235">
        <f t="shared" si="224"/>
        <v>0</v>
      </c>
      <c r="Y292" s="236">
        <f t="shared" si="247"/>
        <v>5</v>
      </c>
      <c r="Z292" s="236" t="e">
        <f t="shared" si="248"/>
        <v>#DIV/0!</v>
      </c>
      <c r="AA292" s="236">
        <f t="shared" si="249"/>
        <v>3</v>
      </c>
      <c r="AB292" s="236" t="e">
        <f t="shared" si="250"/>
        <v>#DIV/0!</v>
      </c>
      <c r="AC292" s="235">
        <f t="shared" si="251"/>
        <v>0</v>
      </c>
      <c r="AD292" s="235">
        <f t="shared" si="252"/>
        <v>0</v>
      </c>
      <c r="AE292" s="279">
        <f t="shared" si="253"/>
        <v>0</v>
      </c>
      <c r="AF292" s="232">
        <f t="shared" si="254"/>
        <v>0</v>
      </c>
      <c r="AG292" s="235">
        <f t="shared" si="255"/>
        <v>0</v>
      </c>
      <c r="AH292" s="269">
        <f t="shared" si="256"/>
        <v>0</v>
      </c>
      <c r="AI292" s="232">
        <f t="shared" si="257"/>
        <v>0</v>
      </c>
      <c r="AJ292" s="235">
        <f t="shared" si="258"/>
        <v>0</v>
      </c>
      <c r="AK292" s="269">
        <f t="shared" si="259"/>
        <v>0</v>
      </c>
      <c r="AL292" s="269">
        <f t="shared" si="225"/>
        <v>0</v>
      </c>
      <c r="AM292" s="281" t="e">
        <f>IF(B292&gt;=mpfo,pos*vvm*Dados!$E$122*(ntudv-SUM(U293:$U$301))-SUM($AM$13:AM291),0)</f>
        <v>#DIV/0!</v>
      </c>
      <c r="AN292" s="269" t="e">
        <f t="shared" si="260"/>
        <v>#DIV/0!</v>
      </c>
      <c r="AO292" s="232" t="e">
        <f t="shared" si="261"/>
        <v>#DIV/0!</v>
      </c>
      <c r="AP292" s="242" t="e">
        <f t="shared" si="262"/>
        <v>#DIV/0!</v>
      </c>
      <c r="AQ292" s="235" t="e">
        <f>IF(AP292+SUM($AQ$12:AQ291)&gt;=0,0,-AP292-SUM($AQ$12:AQ291))</f>
        <v>#DIV/0!</v>
      </c>
      <c r="AR292" s="235">
        <f>IF(SUM($N$13:N291)&gt;=pmo,IF(SUM(N291:$N$501)&gt;(1-pmo),B292,0),0)</f>
        <v>0</v>
      </c>
      <c r="AS292" s="235" t="e">
        <f>IF((SUM($U$13:$U291)/ntudv)&gt;=pmv,IF((SUM($U291:$U$501)/ntudv)&gt;(1-pmv),B292,0),0)</f>
        <v>#DIV/0!</v>
      </c>
      <c r="AT292" s="237" t="e">
        <f>IF(MAX(mmo,mmv)=mmo,IF(B292=AR292,(SUM(N$13:$N291)-pmo)/((1-VLOOKUP(MAX(mmo,mmv)-1,$B$13:$O$501,14))+(VLOOKUP(MAX(mmo,mmv)-1,$B$13:$O$501,14)-pmo)),N291/((1-VLOOKUP(MAX(mmo,mmv)-1,$B$13:$O$501,14)+(VLOOKUP(MAX(mmo,mmv)-1,$B$13:$O$501,14)-pmo)))),N291/(1-VLOOKUP(MAX(mmo,mmv)-2,$B$13:$O$501,14)))</f>
        <v>#DIV/0!</v>
      </c>
      <c r="AU292" s="101" t="e">
        <f t="shared" si="226"/>
        <v>#DIV/0!</v>
      </c>
      <c r="AV292" s="287" t="e">
        <f t="shared" si="227"/>
        <v>#DIV/0!</v>
      </c>
      <c r="AW292" s="235" t="e">
        <f t="shared" si="263"/>
        <v>#DIV/0!</v>
      </c>
      <c r="AX292" s="281">
        <f>IF(B292&gt;mpfo,0,IF(B292=mpfo,(vld-teo*(1+tcfo-incc)^(MAX(mmo,mmv)-mbfo))*-1,IF(SUM($N$13:N291)&gt;=pmo,IF(($V291/ntudv)&gt;=pmv,IF(B292=MAX(mmo,mmv),-teo*(1+tcfo-incc)^(B292-mbfo),0),0),0)))</f>
        <v>0</v>
      </c>
      <c r="AY292" s="292" t="e">
        <f t="shared" si="228"/>
        <v>#DIV/0!</v>
      </c>
      <c r="AZ292" s="235" t="e">
        <f t="shared" si="264"/>
        <v>#DIV/0!</v>
      </c>
      <c r="BA292" s="269" t="e">
        <f t="shared" si="265"/>
        <v>#DIV/0!</v>
      </c>
      <c r="BB292" s="292" t="e">
        <f t="shared" si="266"/>
        <v>#DIV/0!</v>
      </c>
      <c r="BC292" s="238" t="e">
        <f>IF(SUM($BC$13:BC291)&gt;0,0,IF(BB292&gt;0,B292,0))</f>
        <v>#DIV/0!</v>
      </c>
      <c r="BD292" s="292" t="e">
        <f>IF(BB292+SUM($BD$12:BD291)&gt;=0,0,-BB292-SUM($BD$12:BD291))</f>
        <v>#DIV/0!</v>
      </c>
      <c r="BE292" s="235" t="e">
        <f>BB292+SUM($BD$12:BD292)</f>
        <v>#DIV/0!</v>
      </c>
      <c r="BF292" s="292" t="e">
        <f>-MIN(BE292:$BE$501)-SUM(BF$12:$BF291)</f>
        <v>#DIV/0!</v>
      </c>
      <c r="BG292" s="235" t="e">
        <f t="shared" si="231"/>
        <v>#DIV/0!</v>
      </c>
    </row>
    <row r="293" spans="2:59">
      <c r="B293" s="120">
        <v>280</v>
      </c>
      <c r="C293" s="241">
        <f t="shared" si="230"/>
        <v>51200</v>
      </c>
      <c r="D293" s="229">
        <f t="shared" si="232"/>
        <v>3</v>
      </c>
      <c r="E293" s="230" t="str">
        <f t="shared" si="233"/>
        <v>-</v>
      </c>
      <c r="F293" s="231">
        <f t="shared" si="234"/>
        <v>0</v>
      </c>
      <c r="G293" s="231">
        <f t="shared" si="235"/>
        <v>0</v>
      </c>
      <c r="H293" s="231">
        <f t="shared" si="236"/>
        <v>0</v>
      </c>
      <c r="I293" s="268">
        <f t="shared" si="221"/>
        <v>0</v>
      </c>
      <c r="J293" s="269">
        <f t="shared" si="237"/>
        <v>0</v>
      </c>
      <c r="K293" s="269">
        <f t="shared" si="238"/>
        <v>0</v>
      </c>
      <c r="L293" s="269">
        <f t="shared" si="222"/>
        <v>0</v>
      </c>
      <c r="M293" s="269">
        <f t="shared" si="223"/>
        <v>0</v>
      </c>
      <c r="N293" s="233">
        <f>VLOOKUP(B293,Dados!$L$86:$P$90,5)</f>
        <v>0</v>
      </c>
      <c r="O293" s="270">
        <f t="shared" si="239"/>
        <v>0.99999999999999989</v>
      </c>
      <c r="P293" s="269">
        <f t="shared" si="240"/>
        <v>0</v>
      </c>
      <c r="Q293" s="269" t="e">
        <f t="shared" si="241"/>
        <v>#DIV/0!</v>
      </c>
      <c r="R293" s="269">
        <f t="shared" si="242"/>
        <v>0</v>
      </c>
      <c r="S293" s="269" t="e">
        <f t="shared" si="243"/>
        <v>#DIV/0!</v>
      </c>
      <c r="T293" s="269" t="e">
        <f t="shared" si="229"/>
        <v>#DIV/0!</v>
      </c>
      <c r="U293" s="234">
        <f t="shared" si="244"/>
        <v>0</v>
      </c>
      <c r="V293" s="232" t="e">
        <f t="shared" si="245"/>
        <v>#DIV/0!</v>
      </c>
      <c r="W293" s="269" t="e">
        <f t="shared" si="246"/>
        <v>#DIV/0!</v>
      </c>
      <c r="X293" s="235">
        <f t="shared" si="224"/>
        <v>0</v>
      </c>
      <c r="Y293" s="236">
        <f t="shared" si="247"/>
        <v>5</v>
      </c>
      <c r="Z293" s="236" t="e">
        <f t="shared" si="248"/>
        <v>#DIV/0!</v>
      </c>
      <c r="AA293" s="236">
        <f t="shared" si="249"/>
        <v>3</v>
      </c>
      <c r="AB293" s="236" t="e">
        <f t="shared" si="250"/>
        <v>#DIV/0!</v>
      </c>
      <c r="AC293" s="235">
        <f t="shared" si="251"/>
        <v>0</v>
      </c>
      <c r="AD293" s="235">
        <f t="shared" si="252"/>
        <v>0</v>
      </c>
      <c r="AE293" s="279">
        <f t="shared" si="253"/>
        <v>0</v>
      </c>
      <c r="AF293" s="232">
        <f t="shared" si="254"/>
        <v>0</v>
      </c>
      <c r="AG293" s="235">
        <f t="shared" si="255"/>
        <v>0</v>
      </c>
      <c r="AH293" s="269">
        <f t="shared" si="256"/>
        <v>0</v>
      </c>
      <c r="AI293" s="232">
        <f t="shared" si="257"/>
        <v>0</v>
      </c>
      <c r="AJ293" s="235">
        <f t="shared" si="258"/>
        <v>0</v>
      </c>
      <c r="AK293" s="269">
        <f t="shared" si="259"/>
        <v>0</v>
      </c>
      <c r="AL293" s="269">
        <f t="shared" si="225"/>
        <v>0</v>
      </c>
      <c r="AM293" s="281" t="e">
        <f>IF(B293&gt;=mpfo,pos*vvm*Dados!$E$122*(ntudv-SUM(U294:$U$301))-SUM($AM$13:AM292),0)</f>
        <v>#DIV/0!</v>
      </c>
      <c r="AN293" s="269" t="e">
        <f t="shared" si="260"/>
        <v>#DIV/0!</v>
      </c>
      <c r="AO293" s="232" t="e">
        <f t="shared" si="261"/>
        <v>#DIV/0!</v>
      </c>
      <c r="AP293" s="242" t="e">
        <f t="shared" si="262"/>
        <v>#DIV/0!</v>
      </c>
      <c r="AQ293" s="235" t="e">
        <f>IF(AP293+SUM($AQ$12:AQ292)&gt;=0,0,-AP293-SUM($AQ$12:AQ292))</f>
        <v>#DIV/0!</v>
      </c>
      <c r="AR293" s="235">
        <f>IF(SUM($N$13:N292)&gt;=pmo,IF(SUM(N292:$N$501)&gt;(1-pmo),B293,0),0)</f>
        <v>0</v>
      </c>
      <c r="AS293" s="235" t="e">
        <f>IF((SUM($U$13:$U292)/ntudv)&gt;=pmv,IF((SUM($U292:$U$501)/ntudv)&gt;(1-pmv),B293,0),0)</f>
        <v>#DIV/0!</v>
      </c>
      <c r="AT293" s="237" t="e">
        <f>IF(MAX(mmo,mmv)=mmo,IF(B293=AR293,(SUM(N$13:$N292)-pmo)/((1-VLOOKUP(MAX(mmo,mmv)-1,$B$13:$O$501,14))+(VLOOKUP(MAX(mmo,mmv)-1,$B$13:$O$501,14)-pmo)),N292/((1-VLOOKUP(MAX(mmo,mmv)-1,$B$13:$O$501,14)+(VLOOKUP(MAX(mmo,mmv)-1,$B$13:$O$501,14)-pmo)))),N292/(1-VLOOKUP(MAX(mmo,mmv)-2,$B$13:$O$501,14)))</f>
        <v>#DIV/0!</v>
      </c>
      <c r="AU293" s="101" t="e">
        <f t="shared" si="226"/>
        <v>#DIV/0!</v>
      </c>
      <c r="AV293" s="287" t="e">
        <f t="shared" si="227"/>
        <v>#DIV/0!</v>
      </c>
      <c r="AW293" s="235" t="e">
        <f t="shared" si="263"/>
        <v>#DIV/0!</v>
      </c>
      <c r="AX293" s="281">
        <f>IF(B293&gt;mpfo,0,IF(B293=mpfo,(vld-teo*(1+tcfo-incc)^(MAX(mmo,mmv)-mbfo))*-1,IF(SUM($N$13:N292)&gt;=pmo,IF(($V292/ntudv)&gt;=pmv,IF(B293=MAX(mmo,mmv),-teo*(1+tcfo-incc)^(B293-mbfo),0),0),0)))</f>
        <v>0</v>
      </c>
      <c r="AY293" s="292" t="e">
        <f t="shared" si="228"/>
        <v>#DIV/0!</v>
      </c>
      <c r="AZ293" s="235" t="e">
        <f t="shared" si="264"/>
        <v>#DIV/0!</v>
      </c>
      <c r="BA293" s="269" t="e">
        <f t="shared" si="265"/>
        <v>#DIV/0!</v>
      </c>
      <c r="BB293" s="292" t="e">
        <f t="shared" si="266"/>
        <v>#DIV/0!</v>
      </c>
      <c r="BC293" s="238" t="e">
        <f>IF(SUM($BC$13:BC292)&gt;0,0,IF(BB293&gt;0,B293,0))</f>
        <v>#DIV/0!</v>
      </c>
      <c r="BD293" s="292" t="e">
        <f>IF(BB293+SUM($BD$12:BD292)&gt;=0,0,-BB293-SUM($BD$12:BD292))</f>
        <v>#DIV/0!</v>
      </c>
      <c r="BE293" s="235" t="e">
        <f>BB293+SUM($BD$12:BD293)</f>
        <v>#DIV/0!</v>
      </c>
      <c r="BF293" s="292" t="e">
        <f>-MIN(BE293:$BE$501)-SUM(BF$12:$BF292)</f>
        <v>#DIV/0!</v>
      </c>
      <c r="BG293" s="235" t="e">
        <f t="shared" si="231"/>
        <v>#DIV/0!</v>
      </c>
    </row>
    <row r="294" spans="2:59">
      <c r="B294" s="246">
        <v>281</v>
      </c>
      <c r="C294" s="241">
        <f t="shared" si="230"/>
        <v>51231</v>
      </c>
      <c r="D294" s="229">
        <f t="shared" si="232"/>
        <v>4</v>
      </c>
      <c r="E294" s="230" t="str">
        <f t="shared" si="233"/>
        <v>-</v>
      </c>
      <c r="F294" s="231">
        <f t="shared" si="234"/>
        <v>0</v>
      </c>
      <c r="G294" s="231">
        <f t="shared" si="235"/>
        <v>0</v>
      </c>
      <c r="H294" s="231">
        <f t="shared" si="236"/>
        <v>0</v>
      </c>
      <c r="I294" s="268">
        <f t="shared" si="221"/>
        <v>0</v>
      </c>
      <c r="J294" s="269">
        <f t="shared" si="237"/>
        <v>0</v>
      </c>
      <c r="K294" s="269">
        <f t="shared" si="238"/>
        <v>0</v>
      </c>
      <c r="L294" s="269">
        <f t="shared" si="222"/>
        <v>0</v>
      </c>
      <c r="M294" s="269">
        <f t="shared" si="223"/>
        <v>0</v>
      </c>
      <c r="N294" s="233">
        <f>VLOOKUP(B294,Dados!$L$86:$P$90,5)</f>
        <v>0</v>
      </c>
      <c r="O294" s="270">
        <f t="shared" si="239"/>
        <v>0.99999999999999989</v>
      </c>
      <c r="P294" s="269">
        <f t="shared" si="240"/>
        <v>0</v>
      </c>
      <c r="Q294" s="269" t="e">
        <f t="shared" si="241"/>
        <v>#DIV/0!</v>
      </c>
      <c r="R294" s="269">
        <f t="shared" si="242"/>
        <v>0</v>
      </c>
      <c r="S294" s="269" t="e">
        <f t="shared" si="243"/>
        <v>#DIV/0!</v>
      </c>
      <c r="T294" s="269" t="e">
        <f t="shared" si="229"/>
        <v>#DIV/0!</v>
      </c>
      <c r="U294" s="234">
        <f t="shared" si="244"/>
        <v>0</v>
      </c>
      <c r="V294" s="232" t="e">
        <f t="shared" si="245"/>
        <v>#DIV/0!</v>
      </c>
      <c r="W294" s="269" t="e">
        <f t="shared" si="246"/>
        <v>#DIV/0!</v>
      </c>
      <c r="X294" s="235">
        <f t="shared" si="224"/>
        <v>0</v>
      </c>
      <c r="Y294" s="236">
        <f t="shared" si="247"/>
        <v>5</v>
      </c>
      <c r="Z294" s="236" t="e">
        <f t="shared" si="248"/>
        <v>#DIV/0!</v>
      </c>
      <c r="AA294" s="236">
        <f t="shared" si="249"/>
        <v>3</v>
      </c>
      <c r="AB294" s="236" t="e">
        <f t="shared" si="250"/>
        <v>#DIV/0!</v>
      </c>
      <c r="AC294" s="235">
        <f t="shared" si="251"/>
        <v>0</v>
      </c>
      <c r="AD294" s="235">
        <f t="shared" si="252"/>
        <v>0</v>
      </c>
      <c r="AE294" s="279">
        <f t="shared" si="253"/>
        <v>0</v>
      </c>
      <c r="AF294" s="232">
        <f t="shared" si="254"/>
        <v>0</v>
      </c>
      <c r="AG294" s="235">
        <f t="shared" si="255"/>
        <v>0</v>
      </c>
      <c r="AH294" s="269">
        <f t="shared" si="256"/>
        <v>0</v>
      </c>
      <c r="AI294" s="232">
        <f t="shared" si="257"/>
        <v>0</v>
      </c>
      <c r="AJ294" s="235">
        <f t="shared" si="258"/>
        <v>0</v>
      </c>
      <c r="AK294" s="269">
        <f t="shared" si="259"/>
        <v>0</v>
      </c>
      <c r="AL294" s="269">
        <f t="shared" si="225"/>
        <v>0</v>
      </c>
      <c r="AM294" s="281" t="e">
        <f>IF(B294&gt;=mpfo,pos*vvm*Dados!$E$122*(ntudv-SUM(U295:$U$301))-SUM($AM$13:AM293),0)</f>
        <v>#DIV/0!</v>
      </c>
      <c r="AN294" s="269" t="e">
        <f t="shared" si="260"/>
        <v>#DIV/0!</v>
      </c>
      <c r="AO294" s="232" t="e">
        <f t="shared" si="261"/>
        <v>#DIV/0!</v>
      </c>
      <c r="AP294" s="242" t="e">
        <f t="shared" si="262"/>
        <v>#DIV/0!</v>
      </c>
      <c r="AQ294" s="235" t="e">
        <f>IF(AP294+SUM($AQ$12:AQ293)&gt;=0,0,-AP294-SUM($AQ$12:AQ293))</f>
        <v>#DIV/0!</v>
      </c>
      <c r="AR294" s="235">
        <f>IF(SUM($N$13:N293)&gt;=pmo,IF(SUM(N293:$N$501)&gt;(1-pmo),B294,0),0)</f>
        <v>0</v>
      </c>
      <c r="AS294" s="235" t="e">
        <f>IF((SUM($U$13:$U293)/ntudv)&gt;=pmv,IF((SUM($U293:$U$501)/ntudv)&gt;(1-pmv),B294,0),0)</f>
        <v>#DIV/0!</v>
      </c>
      <c r="AT294" s="237" t="e">
        <f>IF(MAX(mmo,mmv)=mmo,IF(B294=AR294,(SUM(N$13:$N293)-pmo)/((1-VLOOKUP(MAX(mmo,mmv)-1,$B$13:$O$501,14))+(VLOOKUP(MAX(mmo,mmv)-1,$B$13:$O$501,14)-pmo)),N293/((1-VLOOKUP(MAX(mmo,mmv)-1,$B$13:$O$501,14)+(VLOOKUP(MAX(mmo,mmv)-1,$B$13:$O$501,14)-pmo)))),N293/(1-VLOOKUP(MAX(mmo,mmv)-2,$B$13:$O$501,14)))</f>
        <v>#DIV/0!</v>
      </c>
      <c r="AU294" s="101" t="e">
        <f t="shared" si="226"/>
        <v>#DIV/0!</v>
      </c>
      <c r="AV294" s="287" t="e">
        <f t="shared" si="227"/>
        <v>#DIV/0!</v>
      </c>
      <c r="AW294" s="235" t="e">
        <f t="shared" si="263"/>
        <v>#DIV/0!</v>
      </c>
      <c r="AX294" s="281">
        <f>IF(B294&gt;mpfo,0,IF(B294=mpfo,(vld-teo*(1+tcfo-incc)^(MAX(mmo,mmv)-mbfo))*-1,IF(SUM($N$13:N293)&gt;=pmo,IF(($V293/ntudv)&gt;=pmv,IF(B294=MAX(mmo,mmv),-teo*(1+tcfo-incc)^(B294-mbfo),0),0),0)))</f>
        <v>0</v>
      </c>
      <c r="AY294" s="292" t="e">
        <f t="shared" si="228"/>
        <v>#DIV/0!</v>
      </c>
      <c r="AZ294" s="235" t="e">
        <f t="shared" si="264"/>
        <v>#DIV/0!</v>
      </c>
      <c r="BA294" s="269" t="e">
        <f t="shared" si="265"/>
        <v>#DIV/0!</v>
      </c>
      <c r="BB294" s="292" t="e">
        <f t="shared" si="266"/>
        <v>#DIV/0!</v>
      </c>
      <c r="BC294" s="238" t="e">
        <f>IF(SUM($BC$13:BC293)&gt;0,0,IF(BB294&gt;0,B294,0))</f>
        <v>#DIV/0!</v>
      </c>
      <c r="BD294" s="292" t="e">
        <f>IF(BB294+SUM($BD$12:BD293)&gt;=0,0,-BB294-SUM($BD$12:BD293))</f>
        <v>#DIV/0!</v>
      </c>
      <c r="BE294" s="235" t="e">
        <f>BB294+SUM($BD$12:BD294)</f>
        <v>#DIV/0!</v>
      </c>
      <c r="BF294" s="292" t="e">
        <f>-MIN(BE294:$BE$501)-SUM(BF$12:$BF293)</f>
        <v>#DIV/0!</v>
      </c>
      <c r="BG294" s="235" t="e">
        <f t="shared" si="231"/>
        <v>#DIV/0!</v>
      </c>
    </row>
    <row r="295" spans="2:59">
      <c r="B295" s="120">
        <v>282</v>
      </c>
      <c r="C295" s="241">
        <f t="shared" si="230"/>
        <v>51261</v>
      </c>
      <c r="D295" s="229">
        <f t="shared" si="232"/>
        <v>5</v>
      </c>
      <c r="E295" s="230" t="str">
        <f t="shared" si="233"/>
        <v>-</v>
      </c>
      <c r="F295" s="231">
        <f t="shared" si="234"/>
        <v>0</v>
      </c>
      <c r="G295" s="231">
        <f t="shared" si="235"/>
        <v>0</v>
      </c>
      <c r="H295" s="231">
        <f t="shared" si="236"/>
        <v>0</v>
      </c>
      <c r="I295" s="268">
        <f t="shared" si="221"/>
        <v>0</v>
      </c>
      <c r="J295" s="269">
        <f t="shared" si="237"/>
        <v>0</v>
      </c>
      <c r="K295" s="269">
        <f t="shared" si="238"/>
        <v>0</v>
      </c>
      <c r="L295" s="269">
        <f t="shared" si="222"/>
        <v>0</v>
      </c>
      <c r="M295" s="269">
        <f t="shared" si="223"/>
        <v>0</v>
      </c>
      <c r="N295" s="233">
        <f>VLOOKUP(B295,Dados!$L$86:$P$90,5)</f>
        <v>0</v>
      </c>
      <c r="O295" s="270">
        <f t="shared" si="239"/>
        <v>0.99999999999999989</v>
      </c>
      <c r="P295" s="269">
        <f t="shared" si="240"/>
        <v>0</v>
      </c>
      <c r="Q295" s="269" t="e">
        <f t="shared" si="241"/>
        <v>#DIV/0!</v>
      </c>
      <c r="R295" s="269">
        <f t="shared" si="242"/>
        <v>0</v>
      </c>
      <c r="S295" s="269" t="e">
        <f t="shared" si="243"/>
        <v>#DIV/0!</v>
      </c>
      <c r="T295" s="269" t="e">
        <f t="shared" si="229"/>
        <v>#DIV/0!</v>
      </c>
      <c r="U295" s="234">
        <f t="shared" si="244"/>
        <v>0</v>
      </c>
      <c r="V295" s="232" t="e">
        <f t="shared" si="245"/>
        <v>#DIV/0!</v>
      </c>
      <c r="W295" s="269" t="e">
        <f t="shared" si="246"/>
        <v>#DIV/0!</v>
      </c>
      <c r="X295" s="235">
        <f t="shared" si="224"/>
        <v>0</v>
      </c>
      <c r="Y295" s="236">
        <f t="shared" si="247"/>
        <v>5</v>
      </c>
      <c r="Z295" s="236" t="e">
        <f t="shared" si="248"/>
        <v>#DIV/0!</v>
      </c>
      <c r="AA295" s="236">
        <f t="shared" si="249"/>
        <v>3</v>
      </c>
      <c r="AB295" s="236" t="e">
        <f t="shared" si="250"/>
        <v>#DIV/0!</v>
      </c>
      <c r="AC295" s="235">
        <f t="shared" si="251"/>
        <v>0</v>
      </c>
      <c r="AD295" s="235">
        <f t="shared" si="252"/>
        <v>0</v>
      </c>
      <c r="AE295" s="279">
        <f t="shared" si="253"/>
        <v>0</v>
      </c>
      <c r="AF295" s="232">
        <f t="shared" si="254"/>
        <v>0</v>
      </c>
      <c r="AG295" s="235">
        <f t="shared" si="255"/>
        <v>0</v>
      </c>
      <c r="AH295" s="269">
        <f t="shared" si="256"/>
        <v>0</v>
      </c>
      <c r="AI295" s="232">
        <f t="shared" si="257"/>
        <v>0</v>
      </c>
      <c r="AJ295" s="235">
        <f t="shared" si="258"/>
        <v>0</v>
      </c>
      <c r="AK295" s="269">
        <f t="shared" si="259"/>
        <v>0</v>
      </c>
      <c r="AL295" s="269">
        <f t="shared" si="225"/>
        <v>0</v>
      </c>
      <c r="AM295" s="281" t="e">
        <f>IF(B295&gt;=mpfo,pos*vvm*Dados!$E$122*(ntudv-SUM(U296:$U$301))-SUM($AM$13:AM294),0)</f>
        <v>#DIV/0!</v>
      </c>
      <c r="AN295" s="269" t="e">
        <f t="shared" si="260"/>
        <v>#DIV/0!</v>
      </c>
      <c r="AO295" s="232" t="e">
        <f t="shared" si="261"/>
        <v>#DIV/0!</v>
      </c>
      <c r="AP295" s="242" t="e">
        <f t="shared" si="262"/>
        <v>#DIV/0!</v>
      </c>
      <c r="AQ295" s="235" t="e">
        <f>IF(AP295+SUM($AQ$12:AQ294)&gt;=0,0,-AP295-SUM($AQ$12:AQ294))</f>
        <v>#DIV/0!</v>
      </c>
      <c r="AR295" s="235">
        <f>IF(SUM($N$13:N294)&gt;=pmo,IF(SUM(N294:$N$501)&gt;(1-pmo),B295,0),0)</f>
        <v>0</v>
      </c>
      <c r="AS295" s="235" t="e">
        <f>IF((SUM($U$13:$U294)/ntudv)&gt;=pmv,IF((SUM($U294:$U$501)/ntudv)&gt;(1-pmv),B295,0),0)</f>
        <v>#DIV/0!</v>
      </c>
      <c r="AT295" s="237" t="e">
        <f>IF(MAX(mmo,mmv)=mmo,IF(B295=AR295,(SUM(N$13:$N294)-pmo)/((1-VLOOKUP(MAX(mmo,mmv)-1,$B$13:$O$501,14))+(VLOOKUP(MAX(mmo,mmv)-1,$B$13:$O$501,14)-pmo)),N294/((1-VLOOKUP(MAX(mmo,mmv)-1,$B$13:$O$501,14)+(VLOOKUP(MAX(mmo,mmv)-1,$B$13:$O$501,14)-pmo)))),N294/(1-VLOOKUP(MAX(mmo,mmv)-2,$B$13:$O$501,14)))</f>
        <v>#DIV/0!</v>
      </c>
      <c r="AU295" s="101" t="e">
        <f t="shared" si="226"/>
        <v>#DIV/0!</v>
      </c>
      <c r="AV295" s="287" t="e">
        <f t="shared" si="227"/>
        <v>#DIV/0!</v>
      </c>
      <c r="AW295" s="235" t="e">
        <f t="shared" si="263"/>
        <v>#DIV/0!</v>
      </c>
      <c r="AX295" s="281">
        <f>IF(B295&gt;mpfo,0,IF(B295=mpfo,(vld-teo*(1+tcfo-incc)^(MAX(mmo,mmv)-mbfo))*-1,IF(SUM($N$13:N294)&gt;=pmo,IF(($V294/ntudv)&gt;=pmv,IF(B295=MAX(mmo,mmv),-teo*(1+tcfo-incc)^(B295-mbfo),0),0),0)))</f>
        <v>0</v>
      </c>
      <c r="AY295" s="292" t="e">
        <f t="shared" si="228"/>
        <v>#DIV/0!</v>
      </c>
      <c r="AZ295" s="235" t="e">
        <f t="shared" si="264"/>
        <v>#DIV/0!</v>
      </c>
      <c r="BA295" s="269" t="e">
        <f t="shared" si="265"/>
        <v>#DIV/0!</v>
      </c>
      <c r="BB295" s="292" t="e">
        <f t="shared" si="266"/>
        <v>#DIV/0!</v>
      </c>
      <c r="BC295" s="238" t="e">
        <f>IF(SUM($BC$13:BC294)&gt;0,0,IF(BB295&gt;0,B295,0))</f>
        <v>#DIV/0!</v>
      </c>
      <c r="BD295" s="292" t="e">
        <f>IF(BB295+SUM($BD$12:BD294)&gt;=0,0,-BB295-SUM($BD$12:BD294))</f>
        <v>#DIV/0!</v>
      </c>
      <c r="BE295" s="235" t="e">
        <f>BB295+SUM($BD$12:BD295)</f>
        <v>#DIV/0!</v>
      </c>
      <c r="BF295" s="292" t="e">
        <f>-MIN(BE295:$BE$501)-SUM(BF$12:$BF294)</f>
        <v>#DIV/0!</v>
      </c>
      <c r="BG295" s="235" t="e">
        <f t="shared" si="231"/>
        <v>#DIV/0!</v>
      </c>
    </row>
    <row r="296" spans="2:59">
      <c r="B296" s="246">
        <v>283</v>
      </c>
      <c r="C296" s="241">
        <f t="shared" si="230"/>
        <v>51292</v>
      </c>
      <c r="D296" s="229">
        <f t="shared" si="232"/>
        <v>6</v>
      </c>
      <c r="E296" s="230" t="str">
        <f t="shared" si="233"/>
        <v>-</v>
      </c>
      <c r="F296" s="231">
        <f t="shared" si="234"/>
        <v>0</v>
      </c>
      <c r="G296" s="231">
        <f t="shared" si="235"/>
        <v>0</v>
      </c>
      <c r="H296" s="231">
        <f t="shared" si="236"/>
        <v>0</v>
      </c>
      <c r="I296" s="268">
        <f t="shared" si="221"/>
        <v>0</v>
      </c>
      <c r="J296" s="269">
        <f t="shared" si="237"/>
        <v>0</v>
      </c>
      <c r="K296" s="269">
        <f t="shared" si="238"/>
        <v>0</v>
      </c>
      <c r="L296" s="269">
        <f t="shared" si="222"/>
        <v>0</v>
      </c>
      <c r="M296" s="269">
        <f t="shared" si="223"/>
        <v>0</v>
      </c>
      <c r="N296" s="233">
        <f>VLOOKUP(B296,Dados!$L$86:$P$90,5)</f>
        <v>0</v>
      </c>
      <c r="O296" s="270">
        <f t="shared" si="239"/>
        <v>0.99999999999999989</v>
      </c>
      <c r="P296" s="269">
        <f t="shared" si="240"/>
        <v>0</v>
      </c>
      <c r="Q296" s="269" t="e">
        <f t="shared" si="241"/>
        <v>#DIV/0!</v>
      </c>
      <c r="R296" s="269">
        <f t="shared" si="242"/>
        <v>0</v>
      </c>
      <c r="S296" s="269" t="e">
        <f t="shared" si="243"/>
        <v>#DIV/0!</v>
      </c>
      <c r="T296" s="269" t="e">
        <f t="shared" si="229"/>
        <v>#DIV/0!</v>
      </c>
      <c r="U296" s="234">
        <f t="shared" si="244"/>
        <v>0</v>
      </c>
      <c r="V296" s="232" t="e">
        <f t="shared" si="245"/>
        <v>#DIV/0!</v>
      </c>
      <c r="W296" s="269" t="e">
        <f t="shared" si="246"/>
        <v>#DIV/0!</v>
      </c>
      <c r="X296" s="235">
        <f t="shared" si="224"/>
        <v>0</v>
      </c>
      <c r="Y296" s="236">
        <f t="shared" si="247"/>
        <v>5</v>
      </c>
      <c r="Z296" s="236" t="e">
        <f t="shared" si="248"/>
        <v>#DIV/0!</v>
      </c>
      <c r="AA296" s="236">
        <f t="shared" si="249"/>
        <v>3</v>
      </c>
      <c r="AB296" s="236" t="e">
        <f t="shared" si="250"/>
        <v>#DIV/0!</v>
      </c>
      <c r="AC296" s="235">
        <f t="shared" si="251"/>
        <v>0</v>
      </c>
      <c r="AD296" s="235">
        <f t="shared" si="252"/>
        <v>0</v>
      </c>
      <c r="AE296" s="279">
        <f t="shared" si="253"/>
        <v>0</v>
      </c>
      <c r="AF296" s="232">
        <f t="shared" si="254"/>
        <v>1</v>
      </c>
      <c r="AG296" s="235">
        <f t="shared" si="255"/>
        <v>0</v>
      </c>
      <c r="AH296" s="269">
        <f t="shared" si="256"/>
        <v>0</v>
      </c>
      <c r="AI296" s="232">
        <f t="shared" si="257"/>
        <v>0</v>
      </c>
      <c r="AJ296" s="235">
        <f t="shared" si="258"/>
        <v>0</v>
      </c>
      <c r="AK296" s="269">
        <f t="shared" si="259"/>
        <v>0</v>
      </c>
      <c r="AL296" s="269">
        <f t="shared" si="225"/>
        <v>0</v>
      </c>
      <c r="AM296" s="281" t="e">
        <f>IF(B296&gt;=mpfo,pos*vvm*Dados!$E$122*(ntudv-SUM(U297:$U$301))-SUM($AM$13:AM295),0)</f>
        <v>#DIV/0!</v>
      </c>
      <c r="AN296" s="269" t="e">
        <f t="shared" si="260"/>
        <v>#DIV/0!</v>
      </c>
      <c r="AO296" s="232" t="e">
        <f t="shared" si="261"/>
        <v>#DIV/0!</v>
      </c>
      <c r="AP296" s="242" t="e">
        <f t="shared" si="262"/>
        <v>#DIV/0!</v>
      </c>
      <c r="AQ296" s="235" t="e">
        <f>IF(AP296+SUM($AQ$12:AQ295)&gt;=0,0,-AP296-SUM($AQ$12:AQ295))</f>
        <v>#DIV/0!</v>
      </c>
      <c r="AR296" s="235">
        <f>IF(SUM($N$13:N295)&gt;=pmo,IF(SUM(N295:$N$501)&gt;(1-pmo),B296,0),0)</f>
        <v>0</v>
      </c>
      <c r="AS296" s="235" t="e">
        <f>IF((SUM($U$13:$U295)/ntudv)&gt;=pmv,IF((SUM($U295:$U$501)/ntudv)&gt;(1-pmv),B296,0),0)</f>
        <v>#DIV/0!</v>
      </c>
      <c r="AT296" s="237" t="e">
        <f>IF(MAX(mmo,mmv)=mmo,IF(B296=AR296,(SUM(N$13:$N295)-pmo)/((1-VLOOKUP(MAX(mmo,mmv)-1,$B$13:$O$501,14))+(VLOOKUP(MAX(mmo,mmv)-1,$B$13:$O$501,14)-pmo)),N295/((1-VLOOKUP(MAX(mmo,mmv)-1,$B$13:$O$501,14)+(VLOOKUP(MAX(mmo,mmv)-1,$B$13:$O$501,14)-pmo)))),N295/(1-VLOOKUP(MAX(mmo,mmv)-2,$B$13:$O$501,14)))</f>
        <v>#DIV/0!</v>
      </c>
      <c r="AU296" s="101" t="e">
        <f t="shared" si="226"/>
        <v>#DIV/0!</v>
      </c>
      <c r="AV296" s="287" t="e">
        <f t="shared" si="227"/>
        <v>#DIV/0!</v>
      </c>
      <c r="AW296" s="235" t="e">
        <f t="shared" si="263"/>
        <v>#DIV/0!</v>
      </c>
      <c r="AX296" s="281">
        <f>IF(B296&gt;mpfo,0,IF(B296=mpfo,(vld-teo*(1+tcfo-incc)^(MAX(mmo,mmv)-mbfo))*-1,IF(SUM($N$13:N295)&gt;=pmo,IF(($V295/ntudv)&gt;=pmv,IF(B296=MAX(mmo,mmv),-teo*(1+tcfo-incc)^(B296-mbfo),0),0),0)))</f>
        <v>0</v>
      </c>
      <c r="AY296" s="292" t="e">
        <f t="shared" si="228"/>
        <v>#DIV/0!</v>
      </c>
      <c r="AZ296" s="235" t="e">
        <f t="shared" si="264"/>
        <v>#DIV/0!</v>
      </c>
      <c r="BA296" s="269" t="e">
        <f t="shared" si="265"/>
        <v>#DIV/0!</v>
      </c>
      <c r="BB296" s="292" t="e">
        <f t="shared" si="266"/>
        <v>#DIV/0!</v>
      </c>
      <c r="BC296" s="238" t="e">
        <f>IF(SUM($BC$13:BC295)&gt;0,0,IF(BB296&gt;0,B296,0))</f>
        <v>#DIV/0!</v>
      </c>
      <c r="BD296" s="292" t="e">
        <f>IF(BB296+SUM($BD$12:BD295)&gt;=0,0,-BB296-SUM($BD$12:BD295))</f>
        <v>#DIV/0!</v>
      </c>
      <c r="BE296" s="235" t="e">
        <f>BB296+SUM($BD$12:BD296)</f>
        <v>#DIV/0!</v>
      </c>
      <c r="BF296" s="292" t="e">
        <f>-MIN(BE296:$BE$501)-SUM(BF$12:$BF295)</f>
        <v>#DIV/0!</v>
      </c>
      <c r="BG296" s="235" t="e">
        <f t="shared" si="231"/>
        <v>#DIV/0!</v>
      </c>
    </row>
    <row r="297" spans="2:59">
      <c r="B297" s="120">
        <v>284</v>
      </c>
      <c r="C297" s="241">
        <f t="shared" si="230"/>
        <v>51322</v>
      </c>
      <c r="D297" s="229">
        <f t="shared" si="232"/>
        <v>7</v>
      </c>
      <c r="E297" s="230" t="str">
        <f t="shared" si="233"/>
        <v>-</v>
      </c>
      <c r="F297" s="231">
        <f t="shared" si="234"/>
        <v>0</v>
      </c>
      <c r="G297" s="231">
        <f t="shared" si="235"/>
        <v>0</v>
      </c>
      <c r="H297" s="231">
        <f t="shared" si="236"/>
        <v>0</v>
      </c>
      <c r="I297" s="268">
        <f t="shared" si="221"/>
        <v>0</v>
      </c>
      <c r="J297" s="269">
        <f t="shared" si="237"/>
        <v>0</v>
      </c>
      <c r="K297" s="269">
        <f t="shared" si="238"/>
        <v>0</v>
      </c>
      <c r="L297" s="269">
        <f t="shared" si="222"/>
        <v>0</v>
      </c>
      <c r="M297" s="269">
        <f t="shared" si="223"/>
        <v>0</v>
      </c>
      <c r="N297" s="233">
        <f>VLOOKUP(B297,Dados!$L$86:$P$90,5)</f>
        <v>0</v>
      </c>
      <c r="O297" s="270">
        <f t="shared" si="239"/>
        <v>0.99999999999999989</v>
      </c>
      <c r="P297" s="269">
        <f t="shared" si="240"/>
        <v>0</v>
      </c>
      <c r="Q297" s="269" t="e">
        <f t="shared" si="241"/>
        <v>#DIV/0!</v>
      </c>
      <c r="R297" s="269">
        <f t="shared" si="242"/>
        <v>0</v>
      </c>
      <c r="S297" s="269" t="e">
        <f t="shared" si="243"/>
        <v>#DIV/0!</v>
      </c>
      <c r="T297" s="269" t="e">
        <f t="shared" si="229"/>
        <v>#DIV/0!</v>
      </c>
      <c r="U297" s="234">
        <f t="shared" si="244"/>
        <v>0</v>
      </c>
      <c r="V297" s="232" t="e">
        <f t="shared" si="245"/>
        <v>#DIV/0!</v>
      </c>
      <c r="W297" s="269" t="e">
        <f t="shared" si="246"/>
        <v>#DIV/0!</v>
      </c>
      <c r="X297" s="235">
        <f t="shared" si="224"/>
        <v>0</v>
      </c>
      <c r="Y297" s="236">
        <f t="shared" si="247"/>
        <v>5</v>
      </c>
      <c r="Z297" s="236" t="e">
        <f t="shared" si="248"/>
        <v>#DIV/0!</v>
      </c>
      <c r="AA297" s="236">
        <f t="shared" si="249"/>
        <v>3</v>
      </c>
      <c r="AB297" s="236" t="e">
        <f t="shared" si="250"/>
        <v>#DIV/0!</v>
      </c>
      <c r="AC297" s="235">
        <f t="shared" si="251"/>
        <v>0</v>
      </c>
      <c r="AD297" s="235">
        <f t="shared" si="252"/>
        <v>0</v>
      </c>
      <c r="AE297" s="279">
        <f t="shared" si="253"/>
        <v>0</v>
      </c>
      <c r="AF297" s="232">
        <f t="shared" si="254"/>
        <v>0</v>
      </c>
      <c r="AG297" s="235">
        <f t="shared" si="255"/>
        <v>0</v>
      </c>
      <c r="AH297" s="269">
        <f t="shared" si="256"/>
        <v>0</v>
      </c>
      <c r="AI297" s="232">
        <f t="shared" si="257"/>
        <v>0</v>
      </c>
      <c r="AJ297" s="235">
        <f t="shared" si="258"/>
        <v>0</v>
      </c>
      <c r="AK297" s="269">
        <f t="shared" si="259"/>
        <v>0</v>
      </c>
      <c r="AL297" s="269">
        <f t="shared" si="225"/>
        <v>0</v>
      </c>
      <c r="AM297" s="281" t="e">
        <f>IF(B297&gt;=mpfo,pos*vvm*Dados!$E$122*(ntudv-SUM(U298:$U$301))-SUM($AM$13:AM296),0)</f>
        <v>#DIV/0!</v>
      </c>
      <c r="AN297" s="269" t="e">
        <f t="shared" si="260"/>
        <v>#DIV/0!</v>
      </c>
      <c r="AO297" s="232" t="e">
        <f t="shared" si="261"/>
        <v>#DIV/0!</v>
      </c>
      <c r="AP297" s="242" t="e">
        <f t="shared" si="262"/>
        <v>#DIV/0!</v>
      </c>
      <c r="AQ297" s="235" t="e">
        <f>IF(AP297+SUM($AQ$12:AQ296)&gt;=0,0,-AP297-SUM($AQ$12:AQ296))</f>
        <v>#DIV/0!</v>
      </c>
      <c r="AR297" s="235">
        <f>IF(SUM($N$13:N296)&gt;=pmo,IF(SUM(N296:$N$501)&gt;(1-pmo),B297,0),0)</f>
        <v>0</v>
      </c>
      <c r="AS297" s="235" t="e">
        <f>IF((SUM($U$13:$U296)/ntudv)&gt;=pmv,IF((SUM($U296:$U$501)/ntudv)&gt;(1-pmv),B297,0),0)</f>
        <v>#DIV/0!</v>
      </c>
      <c r="AT297" s="237" t="e">
        <f>IF(MAX(mmo,mmv)=mmo,IF(B297=AR297,(SUM(N$13:$N296)-pmo)/((1-VLOOKUP(MAX(mmo,mmv)-1,$B$13:$O$501,14))+(VLOOKUP(MAX(mmo,mmv)-1,$B$13:$O$501,14)-pmo)),N296/((1-VLOOKUP(MAX(mmo,mmv)-1,$B$13:$O$501,14)+(VLOOKUP(MAX(mmo,mmv)-1,$B$13:$O$501,14)-pmo)))),N296/(1-VLOOKUP(MAX(mmo,mmv)-2,$B$13:$O$501,14)))</f>
        <v>#DIV/0!</v>
      </c>
      <c r="AU297" s="101" t="e">
        <f t="shared" si="226"/>
        <v>#DIV/0!</v>
      </c>
      <c r="AV297" s="287" t="e">
        <f t="shared" si="227"/>
        <v>#DIV/0!</v>
      </c>
      <c r="AW297" s="235" t="e">
        <f t="shared" si="263"/>
        <v>#DIV/0!</v>
      </c>
      <c r="AX297" s="281">
        <f>IF(B297&gt;mpfo,0,IF(B297=mpfo,(vld-teo*(1+tcfo-incc)^(MAX(mmo,mmv)-mbfo))*-1,IF(SUM($N$13:N296)&gt;=pmo,IF(($V296/ntudv)&gt;=pmv,IF(B297=MAX(mmo,mmv),-teo*(1+tcfo-incc)^(B297-mbfo),0),0),0)))</f>
        <v>0</v>
      </c>
      <c r="AY297" s="292" t="e">
        <f t="shared" si="228"/>
        <v>#DIV/0!</v>
      </c>
      <c r="AZ297" s="235" t="e">
        <f t="shared" si="264"/>
        <v>#DIV/0!</v>
      </c>
      <c r="BA297" s="269" t="e">
        <f t="shared" si="265"/>
        <v>#DIV/0!</v>
      </c>
      <c r="BB297" s="292" t="e">
        <f t="shared" si="266"/>
        <v>#DIV/0!</v>
      </c>
      <c r="BC297" s="238" t="e">
        <f>IF(SUM($BC$13:BC296)&gt;0,0,IF(BB297&gt;0,B297,0))</f>
        <v>#DIV/0!</v>
      </c>
      <c r="BD297" s="292" t="e">
        <f>IF(BB297+SUM($BD$12:BD296)&gt;=0,0,-BB297-SUM($BD$12:BD296))</f>
        <v>#DIV/0!</v>
      </c>
      <c r="BE297" s="235" t="e">
        <f>BB297+SUM($BD$12:BD297)</f>
        <v>#DIV/0!</v>
      </c>
      <c r="BF297" s="292" t="e">
        <f>-MIN(BE297:$BE$501)-SUM(BF$12:$BF296)</f>
        <v>#DIV/0!</v>
      </c>
      <c r="BG297" s="235" t="e">
        <f t="shared" si="231"/>
        <v>#DIV/0!</v>
      </c>
    </row>
    <row r="298" spans="2:59">
      <c r="B298" s="246">
        <v>285</v>
      </c>
      <c r="C298" s="241">
        <f t="shared" si="230"/>
        <v>51353</v>
      </c>
      <c r="D298" s="229">
        <f t="shared" si="232"/>
        <v>8</v>
      </c>
      <c r="E298" s="230" t="str">
        <f t="shared" si="233"/>
        <v>-</v>
      </c>
      <c r="F298" s="231">
        <f t="shared" si="234"/>
        <v>0</v>
      </c>
      <c r="G298" s="231">
        <f t="shared" si="235"/>
        <v>0</v>
      </c>
      <c r="H298" s="231">
        <f t="shared" si="236"/>
        <v>0</v>
      </c>
      <c r="I298" s="268">
        <f t="shared" si="221"/>
        <v>0</v>
      </c>
      <c r="J298" s="269">
        <f t="shared" si="237"/>
        <v>0</v>
      </c>
      <c r="K298" s="269">
        <f t="shared" si="238"/>
        <v>0</v>
      </c>
      <c r="L298" s="269">
        <f t="shared" si="222"/>
        <v>0</v>
      </c>
      <c r="M298" s="269">
        <f t="shared" si="223"/>
        <v>0</v>
      </c>
      <c r="N298" s="233">
        <f>VLOOKUP(B298,Dados!$L$86:$P$90,5)</f>
        <v>0</v>
      </c>
      <c r="O298" s="270">
        <f t="shared" si="239"/>
        <v>0.99999999999999989</v>
      </c>
      <c r="P298" s="269">
        <f t="shared" si="240"/>
        <v>0</v>
      </c>
      <c r="Q298" s="269" t="e">
        <f t="shared" si="241"/>
        <v>#DIV/0!</v>
      </c>
      <c r="R298" s="269">
        <f t="shared" si="242"/>
        <v>0</v>
      </c>
      <c r="S298" s="269" t="e">
        <f t="shared" si="243"/>
        <v>#DIV/0!</v>
      </c>
      <c r="T298" s="269" t="e">
        <f t="shared" si="229"/>
        <v>#DIV/0!</v>
      </c>
      <c r="U298" s="234">
        <f t="shared" si="244"/>
        <v>0</v>
      </c>
      <c r="V298" s="232" t="e">
        <f t="shared" si="245"/>
        <v>#DIV/0!</v>
      </c>
      <c r="W298" s="269" t="e">
        <f t="shared" si="246"/>
        <v>#DIV/0!</v>
      </c>
      <c r="X298" s="235">
        <f t="shared" si="224"/>
        <v>0</v>
      </c>
      <c r="Y298" s="236">
        <f t="shared" si="247"/>
        <v>5</v>
      </c>
      <c r="Z298" s="236" t="e">
        <f t="shared" si="248"/>
        <v>#DIV/0!</v>
      </c>
      <c r="AA298" s="236">
        <f t="shared" si="249"/>
        <v>3</v>
      </c>
      <c r="AB298" s="236" t="e">
        <f t="shared" si="250"/>
        <v>#DIV/0!</v>
      </c>
      <c r="AC298" s="235">
        <f t="shared" si="251"/>
        <v>0</v>
      </c>
      <c r="AD298" s="235">
        <f t="shared" si="252"/>
        <v>0</v>
      </c>
      <c r="AE298" s="279">
        <f t="shared" si="253"/>
        <v>0</v>
      </c>
      <c r="AF298" s="232">
        <f t="shared" si="254"/>
        <v>0</v>
      </c>
      <c r="AG298" s="235">
        <f t="shared" si="255"/>
        <v>0</v>
      </c>
      <c r="AH298" s="269">
        <f t="shared" si="256"/>
        <v>0</v>
      </c>
      <c r="AI298" s="232">
        <f t="shared" si="257"/>
        <v>0</v>
      </c>
      <c r="AJ298" s="235">
        <f t="shared" si="258"/>
        <v>0</v>
      </c>
      <c r="AK298" s="269">
        <f t="shared" si="259"/>
        <v>0</v>
      </c>
      <c r="AL298" s="269">
        <f t="shared" si="225"/>
        <v>0</v>
      </c>
      <c r="AM298" s="281" t="e">
        <f>IF(B298&gt;=mpfo,pos*vvm*Dados!$E$122*(ntudv-SUM(U299:$U$301))-SUM($AM$13:AM297),0)</f>
        <v>#DIV/0!</v>
      </c>
      <c r="AN298" s="269" t="e">
        <f t="shared" si="260"/>
        <v>#DIV/0!</v>
      </c>
      <c r="AO298" s="232" t="e">
        <f t="shared" si="261"/>
        <v>#DIV/0!</v>
      </c>
      <c r="AP298" s="242" t="e">
        <f t="shared" si="262"/>
        <v>#DIV/0!</v>
      </c>
      <c r="AQ298" s="235" t="e">
        <f>IF(AP298+SUM($AQ$12:AQ297)&gt;=0,0,-AP298-SUM($AQ$12:AQ297))</f>
        <v>#DIV/0!</v>
      </c>
      <c r="AR298" s="235">
        <f>IF(SUM($N$13:N297)&gt;=pmo,IF(SUM(N297:$N$501)&gt;(1-pmo),B298,0),0)</f>
        <v>0</v>
      </c>
      <c r="AS298" s="235" t="e">
        <f>IF((SUM($U$13:$U297)/ntudv)&gt;=pmv,IF((SUM($U297:$U$501)/ntudv)&gt;(1-pmv),B298,0),0)</f>
        <v>#DIV/0!</v>
      </c>
      <c r="AT298" s="237" t="e">
        <f>IF(MAX(mmo,mmv)=mmo,IF(B298=AR298,(SUM(N$13:$N297)-pmo)/((1-VLOOKUP(MAX(mmo,mmv)-1,$B$13:$O$501,14))+(VLOOKUP(MAX(mmo,mmv)-1,$B$13:$O$501,14)-pmo)),N297/((1-VLOOKUP(MAX(mmo,mmv)-1,$B$13:$O$501,14)+(VLOOKUP(MAX(mmo,mmv)-1,$B$13:$O$501,14)-pmo)))),N297/(1-VLOOKUP(MAX(mmo,mmv)-2,$B$13:$O$501,14)))</f>
        <v>#DIV/0!</v>
      </c>
      <c r="AU298" s="101" t="e">
        <f t="shared" si="226"/>
        <v>#DIV/0!</v>
      </c>
      <c r="AV298" s="287" t="e">
        <f t="shared" si="227"/>
        <v>#DIV/0!</v>
      </c>
      <c r="AW298" s="235" t="e">
        <f t="shared" si="263"/>
        <v>#DIV/0!</v>
      </c>
      <c r="AX298" s="281">
        <f>IF(B298&gt;mpfo,0,IF(B298=mpfo,(vld-teo*(1+tcfo-incc)^(MAX(mmo,mmv)-mbfo))*-1,IF(SUM($N$13:N297)&gt;=pmo,IF(($V297/ntudv)&gt;=pmv,IF(B298=MAX(mmo,mmv),-teo*(1+tcfo-incc)^(B298-mbfo),0),0),0)))</f>
        <v>0</v>
      </c>
      <c r="AY298" s="292" t="e">
        <f t="shared" si="228"/>
        <v>#DIV/0!</v>
      </c>
      <c r="AZ298" s="235" t="e">
        <f t="shared" si="264"/>
        <v>#DIV/0!</v>
      </c>
      <c r="BA298" s="269" t="e">
        <f t="shared" si="265"/>
        <v>#DIV/0!</v>
      </c>
      <c r="BB298" s="292" t="e">
        <f t="shared" si="266"/>
        <v>#DIV/0!</v>
      </c>
      <c r="BC298" s="238" t="e">
        <f>IF(SUM($BC$13:BC297)&gt;0,0,IF(BB298&gt;0,B298,0))</f>
        <v>#DIV/0!</v>
      </c>
      <c r="BD298" s="292" t="e">
        <f>IF(BB298+SUM($BD$12:BD297)&gt;=0,0,-BB298-SUM($BD$12:BD297))</f>
        <v>#DIV/0!</v>
      </c>
      <c r="BE298" s="235" t="e">
        <f>BB298+SUM($BD$12:BD298)</f>
        <v>#DIV/0!</v>
      </c>
      <c r="BF298" s="292" t="e">
        <f>-MIN(BE298:$BE$501)-SUM(BF$12:$BF297)</f>
        <v>#DIV/0!</v>
      </c>
      <c r="BG298" s="235" t="e">
        <f t="shared" si="231"/>
        <v>#DIV/0!</v>
      </c>
    </row>
    <row r="299" spans="2:59">
      <c r="B299" s="120">
        <v>286</v>
      </c>
      <c r="C299" s="241">
        <f t="shared" si="230"/>
        <v>51384</v>
      </c>
      <c r="D299" s="229">
        <f t="shared" si="232"/>
        <v>9</v>
      </c>
      <c r="E299" s="230" t="str">
        <f t="shared" si="233"/>
        <v>-</v>
      </c>
      <c r="F299" s="231">
        <f t="shared" si="234"/>
        <v>0</v>
      </c>
      <c r="G299" s="231">
        <f t="shared" si="235"/>
        <v>0</v>
      </c>
      <c r="H299" s="231">
        <f t="shared" si="236"/>
        <v>0</v>
      </c>
      <c r="I299" s="268">
        <f t="shared" si="221"/>
        <v>0</v>
      </c>
      <c r="J299" s="269">
        <f t="shared" si="237"/>
        <v>0</v>
      </c>
      <c r="K299" s="269">
        <f t="shared" si="238"/>
        <v>0</v>
      </c>
      <c r="L299" s="269">
        <f t="shared" si="222"/>
        <v>0</v>
      </c>
      <c r="M299" s="269">
        <f t="shared" si="223"/>
        <v>0</v>
      </c>
      <c r="N299" s="233">
        <f>VLOOKUP(B299,Dados!$L$86:$P$90,5)</f>
        <v>0</v>
      </c>
      <c r="O299" s="270">
        <f t="shared" si="239"/>
        <v>0.99999999999999989</v>
      </c>
      <c r="P299" s="269">
        <f t="shared" si="240"/>
        <v>0</v>
      </c>
      <c r="Q299" s="269" t="e">
        <f t="shared" si="241"/>
        <v>#DIV/0!</v>
      </c>
      <c r="R299" s="269">
        <f t="shared" si="242"/>
        <v>0</v>
      </c>
      <c r="S299" s="269" t="e">
        <f t="shared" si="243"/>
        <v>#DIV/0!</v>
      </c>
      <c r="T299" s="269" t="e">
        <f t="shared" si="229"/>
        <v>#DIV/0!</v>
      </c>
      <c r="U299" s="234">
        <f t="shared" si="244"/>
        <v>0</v>
      </c>
      <c r="V299" s="232" t="e">
        <f t="shared" si="245"/>
        <v>#DIV/0!</v>
      </c>
      <c r="W299" s="269" t="e">
        <f t="shared" si="246"/>
        <v>#DIV/0!</v>
      </c>
      <c r="X299" s="235">
        <f t="shared" si="224"/>
        <v>0</v>
      </c>
      <c r="Y299" s="236">
        <f t="shared" si="247"/>
        <v>5</v>
      </c>
      <c r="Z299" s="236" t="e">
        <f t="shared" si="248"/>
        <v>#DIV/0!</v>
      </c>
      <c r="AA299" s="236">
        <f t="shared" si="249"/>
        <v>3</v>
      </c>
      <c r="AB299" s="236" t="e">
        <f t="shared" si="250"/>
        <v>#DIV/0!</v>
      </c>
      <c r="AC299" s="235">
        <f t="shared" si="251"/>
        <v>0</v>
      </c>
      <c r="AD299" s="235">
        <f t="shared" si="252"/>
        <v>0</v>
      </c>
      <c r="AE299" s="279">
        <f t="shared" si="253"/>
        <v>0</v>
      </c>
      <c r="AF299" s="232">
        <f t="shared" si="254"/>
        <v>0</v>
      </c>
      <c r="AG299" s="235">
        <f t="shared" si="255"/>
        <v>0</v>
      </c>
      <c r="AH299" s="269">
        <f t="shared" si="256"/>
        <v>0</v>
      </c>
      <c r="AI299" s="232">
        <f t="shared" si="257"/>
        <v>0</v>
      </c>
      <c r="AJ299" s="235">
        <f t="shared" si="258"/>
        <v>0</v>
      </c>
      <c r="AK299" s="269">
        <f t="shared" si="259"/>
        <v>0</v>
      </c>
      <c r="AL299" s="269">
        <f t="shared" si="225"/>
        <v>0</v>
      </c>
      <c r="AM299" s="281" t="e">
        <f>IF(B299&gt;=mpfo,pos*vvm*Dados!$E$122*(ntudv-SUM(U300:$U$301))-SUM($AM$13:AM298),0)</f>
        <v>#DIV/0!</v>
      </c>
      <c r="AN299" s="269" t="e">
        <f t="shared" si="260"/>
        <v>#DIV/0!</v>
      </c>
      <c r="AO299" s="232" t="e">
        <f t="shared" si="261"/>
        <v>#DIV/0!</v>
      </c>
      <c r="AP299" s="242" t="e">
        <f t="shared" si="262"/>
        <v>#DIV/0!</v>
      </c>
      <c r="AQ299" s="235" t="e">
        <f>IF(AP299+SUM($AQ$12:AQ298)&gt;=0,0,-AP299-SUM($AQ$12:AQ298))</f>
        <v>#DIV/0!</v>
      </c>
      <c r="AR299" s="235">
        <f>IF(SUM($N$13:N298)&gt;=pmo,IF(SUM(N298:$N$501)&gt;(1-pmo),B299,0),0)</f>
        <v>0</v>
      </c>
      <c r="AS299" s="235" t="e">
        <f>IF((SUM($U$13:$U298)/ntudv)&gt;=pmv,IF((SUM($U298:$U$501)/ntudv)&gt;(1-pmv),B299,0),0)</f>
        <v>#DIV/0!</v>
      </c>
      <c r="AT299" s="237" t="e">
        <f>IF(MAX(mmo,mmv)=mmo,IF(B299=AR299,(SUM(N$13:$N298)-pmo)/((1-VLOOKUP(MAX(mmo,mmv)-1,$B$13:$O$501,14))+(VLOOKUP(MAX(mmo,mmv)-1,$B$13:$O$501,14)-pmo)),N298/((1-VLOOKUP(MAX(mmo,mmv)-1,$B$13:$O$501,14)+(VLOOKUP(MAX(mmo,mmv)-1,$B$13:$O$501,14)-pmo)))),N298/(1-VLOOKUP(MAX(mmo,mmv)-2,$B$13:$O$501,14)))</f>
        <v>#DIV/0!</v>
      </c>
      <c r="AU299" s="101" t="e">
        <f t="shared" si="226"/>
        <v>#DIV/0!</v>
      </c>
      <c r="AV299" s="287" t="e">
        <f t="shared" si="227"/>
        <v>#DIV/0!</v>
      </c>
      <c r="AW299" s="235" t="e">
        <f t="shared" si="263"/>
        <v>#DIV/0!</v>
      </c>
      <c r="AX299" s="281">
        <f>IF(B299&gt;mpfo,0,IF(B299=mpfo,(vld-teo*(1+tcfo-incc)^(MAX(mmo,mmv)-mbfo))*-1,IF(SUM($N$13:N298)&gt;=pmo,IF(($V298/ntudv)&gt;=pmv,IF(B299=MAX(mmo,mmv),-teo*(1+tcfo-incc)^(B299-mbfo),0),0),0)))</f>
        <v>0</v>
      </c>
      <c r="AY299" s="292" t="e">
        <f t="shared" si="228"/>
        <v>#DIV/0!</v>
      </c>
      <c r="AZ299" s="235" t="e">
        <f t="shared" si="264"/>
        <v>#DIV/0!</v>
      </c>
      <c r="BA299" s="269" t="e">
        <f t="shared" si="265"/>
        <v>#DIV/0!</v>
      </c>
      <c r="BB299" s="292" t="e">
        <f t="shared" si="266"/>
        <v>#DIV/0!</v>
      </c>
      <c r="BC299" s="238" t="e">
        <f>IF(SUM($BC$13:BC298)&gt;0,0,IF(BB299&gt;0,B299,0))</f>
        <v>#DIV/0!</v>
      </c>
      <c r="BD299" s="292" t="e">
        <f>IF(BB299+SUM($BD$12:BD298)&gt;=0,0,-BB299-SUM($BD$12:BD298))</f>
        <v>#DIV/0!</v>
      </c>
      <c r="BE299" s="235" t="e">
        <f>BB299+SUM($BD$12:BD299)</f>
        <v>#DIV/0!</v>
      </c>
      <c r="BF299" s="292" t="e">
        <f>-MIN(BE299:$BE$501)-SUM(BF$12:$BF298)</f>
        <v>#DIV/0!</v>
      </c>
      <c r="BG299" s="235" t="e">
        <f t="shared" si="231"/>
        <v>#DIV/0!</v>
      </c>
    </row>
    <row r="300" spans="2:59">
      <c r="B300" s="246">
        <v>287</v>
      </c>
      <c r="C300" s="241">
        <f t="shared" si="230"/>
        <v>51414</v>
      </c>
      <c r="D300" s="229">
        <f t="shared" si="232"/>
        <v>10</v>
      </c>
      <c r="E300" s="230" t="str">
        <f t="shared" si="233"/>
        <v>-</v>
      </c>
      <c r="F300" s="231">
        <f t="shared" si="234"/>
        <v>0</v>
      </c>
      <c r="G300" s="231">
        <f t="shared" si="235"/>
        <v>0</v>
      </c>
      <c r="H300" s="231">
        <f t="shared" si="236"/>
        <v>0</v>
      </c>
      <c r="I300" s="268">
        <f t="shared" si="221"/>
        <v>0</v>
      </c>
      <c r="J300" s="269">
        <f t="shared" si="237"/>
        <v>0</v>
      </c>
      <c r="K300" s="269">
        <f t="shared" si="238"/>
        <v>0</v>
      </c>
      <c r="L300" s="269">
        <f t="shared" si="222"/>
        <v>0</v>
      </c>
      <c r="M300" s="269">
        <f t="shared" si="223"/>
        <v>0</v>
      </c>
      <c r="N300" s="233">
        <f>VLOOKUP(B300,Dados!$L$86:$P$90,5)</f>
        <v>0</v>
      </c>
      <c r="O300" s="270">
        <f t="shared" si="239"/>
        <v>0.99999999999999989</v>
      </c>
      <c r="P300" s="269">
        <f t="shared" si="240"/>
        <v>0</v>
      </c>
      <c r="Q300" s="269" t="e">
        <f t="shared" si="241"/>
        <v>#DIV/0!</v>
      </c>
      <c r="R300" s="269">
        <f t="shared" si="242"/>
        <v>0</v>
      </c>
      <c r="S300" s="269" t="e">
        <f t="shared" si="243"/>
        <v>#DIV/0!</v>
      </c>
      <c r="T300" s="269" t="e">
        <f t="shared" si="229"/>
        <v>#DIV/0!</v>
      </c>
      <c r="U300" s="234">
        <f t="shared" si="244"/>
        <v>0</v>
      </c>
      <c r="V300" s="232" t="e">
        <f t="shared" si="245"/>
        <v>#DIV/0!</v>
      </c>
      <c r="W300" s="269" t="e">
        <f t="shared" si="246"/>
        <v>#DIV/0!</v>
      </c>
      <c r="X300" s="235">
        <f t="shared" si="224"/>
        <v>0</v>
      </c>
      <c r="Y300" s="236">
        <f t="shared" si="247"/>
        <v>5</v>
      </c>
      <c r="Z300" s="236" t="e">
        <f t="shared" si="248"/>
        <v>#DIV/0!</v>
      </c>
      <c r="AA300" s="236">
        <f t="shared" si="249"/>
        <v>3</v>
      </c>
      <c r="AB300" s="236" t="e">
        <f t="shared" si="250"/>
        <v>#DIV/0!</v>
      </c>
      <c r="AC300" s="235">
        <f t="shared" si="251"/>
        <v>0</v>
      </c>
      <c r="AD300" s="235">
        <f t="shared" si="252"/>
        <v>0</v>
      </c>
      <c r="AE300" s="279">
        <f t="shared" si="253"/>
        <v>0</v>
      </c>
      <c r="AF300" s="232">
        <f t="shared" si="254"/>
        <v>0</v>
      </c>
      <c r="AG300" s="235">
        <f t="shared" si="255"/>
        <v>0</v>
      </c>
      <c r="AH300" s="269">
        <f t="shared" si="256"/>
        <v>0</v>
      </c>
      <c r="AI300" s="232">
        <f t="shared" si="257"/>
        <v>0</v>
      </c>
      <c r="AJ300" s="235">
        <f t="shared" si="258"/>
        <v>0</v>
      </c>
      <c r="AK300" s="269">
        <f t="shared" si="259"/>
        <v>0</v>
      </c>
      <c r="AL300" s="269">
        <f t="shared" si="225"/>
        <v>0</v>
      </c>
      <c r="AM300" s="281" t="e">
        <f>IF(B300&gt;=mpfo,pos*vvm*Dados!$E$122*(ntudv-SUM(U301:$U$301))-SUM($AM$13:AM299),0)</f>
        <v>#DIV/0!</v>
      </c>
      <c r="AN300" s="269" t="e">
        <f t="shared" si="260"/>
        <v>#DIV/0!</v>
      </c>
      <c r="AO300" s="232" t="e">
        <f t="shared" si="261"/>
        <v>#DIV/0!</v>
      </c>
      <c r="AP300" s="242" t="e">
        <f t="shared" si="262"/>
        <v>#DIV/0!</v>
      </c>
      <c r="AQ300" s="235" t="e">
        <f>IF(AP300+SUM($AQ$12:AQ299)&gt;=0,0,-AP300-SUM($AQ$12:AQ299))</f>
        <v>#DIV/0!</v>
      </c>
      <c r="AR300" s="235">
        <f>IF(SUM($N$13:N299)&gt;=pmo,IF(SUM(N299:$N$501)&gt;(1-pmo),B300,0),0)</f>
        <v>0</v>
      </c>
      <c r="AS300" s="235" t="e">
        <f>IF((SUM($U$13:$U299)/ntudv)&gt;=pmv,IF((SUM($U299:$U$501)/ntudv)&gt;(1-pmv),B300,0),0)</f>
        <v>#DIV/0!</v>
      </c>
      <c r="AT300" s="237" t="e">
        <f>IF(MAX(mmo,mmv)=mmo,IF(B300=AR300,(SUM(N$13:$N299)-pmo)/((1-VLOOKUP(MAX(mmo,mmv)-1,$B$13:$O$501,14))+(VLOOKUP(MAX(mmo,mmv)-1,$B$13:$O$501,14)-pmo)),N299/((1-VLOOKUP(MAX(mmo,mmv)-1,$B$13:$O$501,14)+(VLOOKUP(MAX(mmo,mmv)-1,$B$13:$O$501,14)-pmo)))),N299/(1-VLOOKUP(MAX(mmo,mmv)-2,$B$13:$O$501,14)))</f>
        <v>#DIV/0!</v>
      </c>
      <c r="AU300" s="101" t="e">
        <f t="shared" si="226"/>
        <v>#DIV/0!</v>
      </c>
      <c r="AV300" s="287" t="e">
        <f t="shared" si="227"/>
        <v>#DIV/0!</v>
      </c>
      <c r="AW300" s="235" t="e">
        <f t="shared" si="263"/>
        <v>#DIV/0!</v>
      </c>
      <c r="AX300" s="281">
        <f>IF(B300&gt;mpfo,0,IF(B300=mpfo,(vld-teo*(1+tcfo-incc)^(MAX(mmo,mmv)-mbfo))*-1,IF(SUM($N$13:N299)&gt;=pmo,IF(($V299/ntudv)&gt;=pmv,IF(B300=MAX(mmo,mmv),-teo*(1+tcfo-incc)^(B300-mbfo),0),0),0)))</f>
        <v>0</v>
      </c>
      <c r="AY300" s="292" t="e">
        <f t="shared" si="228"/>
        <v>#DIV/0!</v>
      </c>
      <c r="AZ300" s="235" t="e">
        <f t="shared" si="264"/>
        <v>#DIV/0!</v>
      </c>
      <c r="BA300" s="269" t="e">
        <f t="shared" si="265"/>
        <v>#DIV/0!</v>
      </c>
      <c r="BB300" s="292" t="e">
        <f t="shared" si="266"/>
        <v>#DIV/0!</v>
      </c>
      <c r="BC300" s="238" t="e">
        <f>IF(SUM($BC$13:BC299)&gt;0,0,IF(BB300&gt;0,B300,0))</f>
        <v>#DIV/0!</v>
      </c>
      <c r="BD300" s="292" t="e">
        <f>IF(BB300+SUM($BD$12:BD299)&gt;=0,0,-BB300-SUM($BD$12:BD299))</f>
        <v>#DIV/0!</v>
      </c>
      <c r="BE300" s="235" t="e">
        <f>BB300+SUM($BD$12:BD300)</f>
        <v>#DIV/0!</v>
      </c>
      <c r="BF300" s="292" t="e">
        <f>-MIN(BE300:$BE$501)-SUM(BF$12:$BF299)</f>
        <v>#DIV/0!</v>
      </c>
      <c r="BG300" s="235" t="e">
        <f t="shared" si="231"/>
        <v>#DIV/0!</v>
      </c>
    </row>
    <row r="301" spans="2:59">
      <c r="B301" s="120">
        <v>288</v>
      </c>
      <c r="C301" s="241">
        <f t="shared" si="230"/>
        <v>51445</v>
      </c>
      <c r="D301" s="229">
        <f t="shared" si="232"/>
        <v>11</v>
      </c>
      <c r="E301" s="230" t="str">
        <f t="shared" si="233"/>
        <v>-</v>
      </c>
      <c r="F301" s="231">
        <f t="shared" si="234"/>
        <v>0</v>
      </c>
      <c r="G301" s="231">
        <f t="shared" si="235"/>
        <v>0</v>
      </c>
      <c r="H301" s="231">
        <f t="shared" si="236"/>
        <v>0</v>
      </c>
      <c r="I301" s="268">
        <f t="shared" si="221"/>
        <v>0</v>
      </c>
      <c r="J301" s="269">
        <f t="shared" si="237"/>
        <v>0</v>
      </c>
      <c r="K301" s="269">
        <f t="shared" si="238"/>
        <v>0</v>
      </c>
      <c r="L301" s="269">
        <f t="shared" si="222"/>
        <v>0</v>
      </c>
      <c r="M301" s="269">
        <f t="shared" si="223"/>
        <v>0</v>
      </c>
      <c r="N301" s="233">
        <f>VLOOKUP(B301,Dados!$L$86:$P$90,5)</f>
        <v>0</v>
      </c>
      <c r="O301" s="270">
        <f t="shared" si="239"/>
        <v>0.99999999999999989</v>
      </c>
      <c r="P301" s="269">
        <f t="shared" si="240"/>
        <v>0</v>
      </c>
      <c r="Q301" s="269" t="e">
        <f t="shared" si="241"/>
        <v>#DIV/0!</v>
      </c>
      <c r="R301" s="269">
        <f t="shared" si="242"/>
        <v>0</v>
      </c>
      <c r="S301" s="269" t="e">
        <f t="shared" si="243"/>
        <v>#DIV/0!</v>
      </c>
      <c r="T301" s="269" t="e">
        <f t="shared" si="229"/>
        <v>#DIV/0!</v>
      </c>
      <c r="U301" s="234">
        <f t="shared" si="244"/>
        <v>0</v>
      </c>
      <c r="V301" s="232" t="e">
        <f t="shared" si="245"/>
        <v>#DIV/0!</v>
      </c>
      <c r="W301" s="269" t="e">
        <f t="shared" si="246"/>
        <v>#DIV/0!</v>
      </c>
      <c r="X301" s="235">
        <f t="shared" si="224"/>
        <v>0</v>
      </c>
      <c r="Y301" s="236">
        <f t="shared" si="247"/>
        <v>5</v>
      </c>
      <c r="Z301" s="236" t="e">
        <f t="shared" si="248"/>
        <v>#DIV/0!</v>
      </c>
      <c r="AA301" s="236">
        <f t="shared" si="249"/>
        <v>3</v>
      </c>
      <c r="AB301" s="236" t="e">
        <f t="shared" si="250"/>
        <v>#DIV/0!</v>
      </c>
      <c r="AC301" s="235">
        <f t="shared" si="251"/>
        <v>0</v>
      </c>
      <c r="AD301" s="235">
        <f t="shared" si="252"/>
        <v>0</v>
      </c>
      <c r="AE301" s="279">
        <f t="shared" si="253"/>
        <v>0</v>
      </c>
      <c r="AF301" s="232">
        <f t="shared" si="254"/>
        <v>0</v>
      </c>
      <c r="AG301" s="235">
        <f t="shared" si="255"/>
        <v>0</v>
      </c>
      <c r="AH301" s="269">
        <f t="shared" si="256"/>
        <v>0</v>
      </c>
      <c r="AI301" s="232">
        <f t="shared" si="257"/>
        <v>0</v>
      </c>
      <c r="AJ301" s="235">
        <f t="shared" si="258"/>
        <v>0</v>
      </c>
      <c r="AK301" s="269">
        <f t="shared" si="259"/>
        <v>0</v>
      </c>
      <c r="AL301" s="269">
        <f t="shared" si="225"/>
        <v>0</v>
      </c>
      <c r="AM301" s="281" t="e">
        <f>IF(B301&gt;=mpfo,pos*vvm*Dados!$E$122*(ntudv-SUM(U$301:$U302))-SUM($AM$13:AM300),0)</f>
        <v>#DIV/0!</v>
      </c>
      <c r="AN301" s="269" t="e">
        <f t="shared" si="260"/>
        <v>#DIV/0!</v>
      </c>
      <c r="AO301" s="232" t="e">
        <f t="shared" si="261"/>
        <v>#DIV/0!</v>
      </c>
      <c r="AP301" s="242" t="e">
        <f t="shared" si="262"/>
        <v>#DIV/0!</v>
      </c>
      <c r="AQ301" s="235" t="e">
        <f>IF(AP301+SUM($AQ$12:AQ300)&gt;=0,0,-AP301-SUM($AQ$12:AQ300))</f>
        <v>#DIV/0!</v>
      </c>
      <c r="AR301" s="235">
        <f>IF(SUM($N$13:N300)&gt;=pmo,IF(SUM(N300:$N$501)&gt;(1-pmo),B301,0),0)</f>
        <v>0</v>
      </c>
      <c r="AS301" s="235" t="e">
        <f>IF((SUM($U$13:$U300)/ntudv)&gt;=pmv,IF((SUM($U300:$U$501)/ntudv)&gt;(1-pmv),B301,0),0)</f>
        <v>#DIV/0!</v>
      </c>
      <c r="AT301" s="237" t="e">
        <f>IF(MAX(mmo,mmv)=mmo,IF(B301=AR301,(SUM(N$13:$N300)-pmo)/((1-VLOOKUP(MAX(mmo,mmv)-1,$B$13:$O$501,14))+(VLOOKUP(MAX(mmo,mmv)-1,$B$13:$O$501,14)-pmo)),N300/((1-VLOOKUP(MAX(mmo,mmv)-1,$B$13:$O$501,14)+(VLOOKUP(MAX(mmo,mmv)-1,$B$13:$O$501,14)-pmo)))),N300/(1-VLOOKUP(MAX(mmo,mmv)-2,$B$13:$O$501,14)))</f>
        <v>#DIV/0!</v>
      </c>
      <c r="AU301" s="101" t="e">
        <f t="shared" si="226"/>
        <v>#DIV/0!</v>
      </c>
      <c r="AV301" s="287" t="e">
        <f t="shared" si="227"/>
        <v>#DIV/0!</v>
      </c>
      <c r="AW301" s="235" t="e">
        <f t="shared" si="263"/>
        <v>#DIV/0!</v>
      </c>
      <c r="AX301" s="281">
        <f>IF(B301&gt;mpfo,0,IF(B301=mpfo,(vld-teo*(1+tcfo-incc)^(MAX(mmo,mmv)-mbfo))*-1,IF(SUM($N$13:N300)&gt;=pmo,IF(($V300/ntudv)&gt;=pmv,IF(B301=MAX(mmo,mmv),-teo*(1+tcfo-incc)^(B301-mbfo),0),0),0)))</f>
        <v>0</v>
      </c>
      <c r="AY301" s="292" t="e">
        <f t="shared" si="228"/>
        <v>#DIV/0!</v>
      </c>
      <c r="AZ301" s="235" t="e">
        <f t="shared" si="264"/>
        <v>#DIV/0!</v>
      </c>
      <c r="BA301" s="269" t="e">
        <f t="shared" si="265"/>
        <v>#DIV/0!</v>
      </c>
      <c r="BB301" s="292" t="e">
        <f t="shared" si="266"/>
        <v>#DIV/0!</v>
      </c>
      <c r="BC301" s="238" t="e">
        <f>IF(SUM($BC$13:BC300)&gt;0,0,IF(BB301&gt;0,B301,0))</f>
        <v>#DIV/0!</v>
      </c>
      <c r="BD301" s="292" t="e">
        <f>IF(BB301+SUM($BD$12:BD300)&gt;=0,0,-BB301-SUM($BD$12:BD300))</f>
        <v>#DIV/0!</v>
      </c>
      <c r="BE301" s="235" t="e">
        <f>BB301+SUM($BD$12:BD301)</f>
        <v>#DIV/0!</v>
      </c>
      <c r="BF301" s="292" t="e">
        <f>-MIN(BE301:$BE$501)-SUM(BF$12:$BF300)</f>
        <v>#DIV/0!</v>
      </c>
      <c r="BG301" s="235" t="e">
        <f t="shared" si="231"/>
        <v>#DIV/0!</v>
      </c>
    </row>
    <row r="302" spans="2:59">
      <c r="B302" s="246">
        <v>289</v>
      </c>
      <c r="C302" s="241">
        <f t="shared" si="230"/>
        <v>51475</v>
      </c>
      <c r="D302" s="229">
        <f t="shared" si="232"/>
        <v>12</v>
      </c>
      <c r="E302" s="230" t="str">
        <f t="shared" si="233"/>
        <v>-</v>
      </c>
      <c r="F302" s="231">
        <f t="shared" si="234"/>
        <v>0</v>
      </c>
      <c r="G302" s="231">
        <f t="shared" si="235"/>
        <v>0</v>
      </c>
      <c r="H302" s="231">
        <f t="shared" si="236"/>
        <v>0</v>
      </c>
      <c r="I302" s="268">
        <f t="shared" si="221"/>
        <v>0</v>
      </c>
      <c r="J302" s="269">
        <f t="shared" si="237"/>
        <v>0</v>
      </c>
      <c r="K302" s="269">
        <f t="shared" si="238"/>
        <v>0</v>
      </c>
      <c r="L302" s="269">
        <f t="shared" si="222"/>
        <v>0</v>
      </c>
      <c r="M302" s="269">
        <f t="shared" si="223"/>
        <v>0</v>
      </c>
      <c r="N302" s="233">
        <f>VLOOKUP(B302,Dados!$L$86:$P$90,5)</f>
        <v>0</v>
      </c>
      <c r="O302" s="270">
        <f t="shared" si="239"/>
        <v>0.99999999999999989</v>
      </c>
      <c r="P302" s="269">
        <f t="shared" si="240"/>
        <v>0</v>
      </c>
      <c r="Q302" s="269" t="e">
        <f t="shared" si="241"/>
        <v>#DIV/0!</v>
      </c>
      <c r="R302" s="269">
        <f t="shared" si="242"/>
        <v>0</v>
      </c>
      <c r="S302" s="269" t="e">
        <f t="shared" si="243"/>
        <v>#DIV/0!</v>
      </c>
      <c r="T302" s="269" t="e">
        <f t="shared" si="229"/>
        <v>#DIV/0!</v>
      </c>
      <c r="U302" s="234">
        <f t="shared" si="244"/>
        <v>0</v>
      </c>
      <c r="V302" s="232" t="e">
        <f t="shared" si="245"/>
        <v>#DIV/0!</v>
      </c>
      <c r="W302" s="269" t="e">
        <f t="shared" si="246"/>
        <v>#DIV/0!</v>
      </c>
      <c r="X302" s="235">
        <f t="shared" si="224"/>
        <v>0</v>
      </c>
      <c r="Y302" s="236">
        <f t="shared" si="247"/>
        <v>5</v>
      </c>
      <c r="Z302" s="236" t="e">
        <f t="shared" si="248"/>
        <v>#DIV/0!</v>
      </c>
      <c r="AA302" s="236">
        <f t="shared" si="249"/>
        <v>3</v>
      </c>
      <c r="AB302" s="236" t="e">
        <f t="shared" si="250"/>
        <v>#DIV/0!</v>
      </c>
      <c r="AC302" s="235">
        <f t="shared" si="251"/>
        <v>0</v>
      </c>
      <c r="AD302" s="235">
        <f t="shared" si="252"/>
        <v>0</v>
      </c>
      <c r="AE302" s="279">
        <f t="shared" si="253"/>
        <v>0</v>
      </c>
      <c r="AF302" s="232">
        <f t="shared" si="254"/>
        <v>1</v>
      </c>
      <c r="AG302" s="235">
        <f t="shared" si="255"/>
        <v>0</v>
      </c>
      <c r="AH302" s="269">
        <f t="shared" si="256"/>
        <v>0</v>
      </c>
      <c r="AI302" s="232">
        <f t="shared" si="257"/>
        <v>1</v>
      </c>
      <c r="AJ302" s="235">
        <f t="shared" si="258"/>
        <v>0</v>
      </c>
      <c r="AK302" s="269">
        <f t="shared" si="259"/>
        <v>0</v>
      </c>
      <c r="AL302" s="269">
        <f t="shared" si="225"/>
        <v>0</v>
      </c>
      <c r="AM302" s="281" t="e">
        <f>IF(B302&gt;=mpfo,pos*vvm*Dados!$E$122*(ntudv-SUM(U$301:$U303))-SUM($AM$13:AM301),0)</f>
        <v>#DIV/0!</v>
      </c>
      <c r="AN302" s="269" t="e">
        <f t="shared" si="260"/>
        <v>#DIV/0!</v>
      </c>
      <c r="AO302" s="232" t="e">
        <f t="shared" si="261"/>
        <v>#DIV/0!</v>
      </c>
      <c r="AP302" s="242" t="e">
        <f t="shared" si="262"/>
        <v>#DIV/0!</v>
      </c>
      <c r="AQ302" s="235" t="e">
        <f>IF(AP302+SUM($AQ$12:AQ301)&gt;=0,0,-AP302-SUM($AQ$12:AQ301))</f>
        <v>#DIV/0!</v>
      </c>
      <c r="AR302" s="235">
        <f>IF(SUM($N$13:N301)&gt;=pmo,IF(SUM(N301:$N$501)&gt;(1-pmo),B302,0),0)</f>
        <v>0</v>
      </c>
      <c r="AS302" s="235" t="e">
        <f>IF((SUM($U$13:$U301)/ntudv)&gt;=pmv,IF((SUM($U301:$U$501)/ntudv)&gt;(1-pmv),B302,0),0)</f>
        <v>#DIV/0!</v>
      </c>
      <c r="AT302" s="237" t="e">
        <f>IF(MAX(mmo,mmv)=mmo,IF(B302=AR302,(SUM(N$13:$N301)-pmo)/((1-VLOOKUP(MAX(mmo,mmv)-1,$B$13:$O$501,14))+(VLOOKUP(MAX(mmo,mmv)-1,$B$13:$O$501,14)-pmo)),N301/((1-VLOOKUP(MAX(mmo,mmv)-1,$B$13:$O$501,14)+(VLOOKUP(MAX(mmo,mmv)-1,$B$13:$O$501,14)-pmo)))),N301/(1-VLOOKUP(MAX(mmo,mmv)-2,$B$13:$O$501,14)))</f>
        <v>#DIV/0!</v>
      </c>
      <c r="AU302" s="101" t="e">
        <f t="shared" si="226"/>
        <v>#DIV/0!</v>
      </c>
      <c r="AV302" s="287" t="e">
        <f t="shared" si="227"/>
        <v>#DIV/0!</v>
      </c>
      <c r="AW302" s="235" t="e">
        <f t="shared" si="263"/>
        <v>#DIV/0!</v>
      </c>
      <c r="AX302" s="281">
        <f>IF(B302&gt;mpfo,0,IF(B302=mpfo,(vld-teo*(1+tcfo-incc)^(MAX(mmo,mmv)-mbfo))*-1,IF(SUM($N$13:N301)&gt;=pmo,IF(($V301/ntudv)&gt;=pmv,IF(B302=MAX(mmo,mmv),-teo*(1+tcfo-incc)^(B302-mbfo),0),0),0)))</f>
        <v>0</v>
      </c>
      <c r="AY302" s="292" t="e">
        <f t="shared" si="228"/>
        <v>#DIV/0!</v>
      </c>
      <c r="AZ302" s="235" t="e">
        <f t="shared" si="264"/>
        <v>#DIV/0!</v>
      </c>
      <c r="BA302" s="269" t="e">
        <f t="shared" si="265"/>
        <v>#DIV/0!</v>
      </c>
      <c r="BB302" s="292" t="e">
        <f t="shared" si="266"/>
        <v>#DIV/0!</v>
      </c>
      <c r="BC302" s="238" t="e">
        <f>IF(SUM($BC$13:BC301)&gt;0,0,IF(BB302&gt;0,B302,0))</f>
        <v>#DIV/0!</v>
      </c>
      <c r="BD302" s="292" t="e">
        <f>IF(BB302+SUM($BD$12:BD301)&gt;=0,0,-BB302-SUM($BD$12:BD301))</f>
        <v>#DIV/0!</v>
      </c>
      <c r="BE302" s="235" t="e">
        <f>BB302+SUM($BD$12:BD302)</f>
        <v>#DIV/0!</v>
      </c>
      <c r="BF302" s="292" t="e">
        <f>-MIN(BE302:$BE$501)-SUM(BF$12:$BF301)</f>
        <v>#DIV/0!</v>
      </c>
      <c r="BG302" s="235" t="e">
        <f t="shared" si="231"/>
        <v>#DIV/0!</v>
      </c>
    </row>
    <row r="303" spans="2:59">
      <c r="B303" s="120">
        <v>290</v>
      </c>
      <c r="C303" s="241">
        <f t="shared" si="230"/>
        <v>51506</v>
      </c>
      <c r="D303" s="229">
        <f t="shared" si="232"/>
        <v>1</v>
      </c>
      <c r="E303" s="230" t="str">
        <f t="shared" si="233"/>
        <v>-</v>
      </c>
      <c r="F303" s="231">
        <f t="shared" si="234"/>
        <v>0</v>
      </c>
      <c r="G303" s="231">
        <f t="shared" si="235"/>
        <v>0</v>
      </c>
      <c r="H303" s="231">
        <f t="shared" si="236"/>
        <v>0</v>
      </c>
      <c r="I303" s="268">
        <f t="shared" si="221"/>
        <v>0</v>
      </c>
      <c r="J303" s="269">
        <f t="shared" si="237"/>
        <v>0</v>
      </c>
      <c r="K303" s="269">
        <f t="shared" si="238"/>
        <v>0</v>
      </c>
      <c r="L303" s="269">
        <f t="shared" si="222"/>
        <v>0</v>
      </c>
      <c r="M303" s="269">
        <f t="shared" si="223"/>
        <v>0</v>
      </c>
      <c r="N303" s="233">
        <f>VLOOKUP(B303,Dados!$L$86:$P$90,5)</f>
        <v>0</v>
      </c>
      <c r="O303" s="270">
        <f t="shared" si="239"/>
        <v>0.99999999999999989</v>
      </c>
      <c r="P303" s="269">
        <f t="shared" si="240"/>
        <v>0</v>
      </c>
      <c r="Q303" s="269" t="e">
        <f t="shared" si="241"/>
        <v>#DIV/0!</v>
      </c>
      <c r="R303" s="269">
        <f t="shared" si="242"/>
        <v>0</v>
      </c>
      <c r="S303" s="269" t="e">
        <f t="shared" si="243"/>
        <v>#DIV/0!</v>
      </c>
      <c r="T303" s="269" t="e">
        <f t="shared" si="229"/>
        <v>#DIV/0!</v>
      </c>
      <c r="U303" s="234">
        <f t="shared" si="244"/>
        <v>0</v>
      </c>
      <c r="V303" s="232" t="e">
        <f t="shared" si="245"/>
        <v>#DIV/0!</v>
      </c>
      <c r="W303" s="269" t="e">
        <f t="shared" si="246"/>
        <v>#DIV/0!</v>
      </c>
      <c r="X303" s="235">
        <f t="shared" si="224"/>
        <v>0</v>
      </c>
      <c r="Y303" s="236">
        <f t="shared" si="247"/>
        <v>5</v>
      </c>
      <c r="Z303" s="236" t="e">
        <f t="shared" si="248"/>
        <v>#DIV/0!</v>
      </c>
      <c r="AA303" s="236">
        <f t="shared" si="249"/>
        <v>3</v>
      </c>
      <c r="AB303" s="236" t="e">
        <f t="shared" si="250"/>
        <v>#DIV/0!</v>
      </c>
      <c r="AC303" s="235">
        <f t="shared" si="251"/>
        <v>0</v>
      </c>
      <c r="AD303" s="235">
        <f t="shared" si="252"/>
        <v>0</v>
      </c>
      <c r="AE303" s="279">
        <f t="shared" si="253"/>
        <v>0</v>
      </c>
      <c r="AF303" s="232">
        <f t="shared" si="254"/>
        <v>0</v>
      </c>
      <c r="AG303" s="235">
        <f t="shared" si="255"/>
        <v>0</v>
      </c>
      <c r="AH303" s="269">
        <f t="shared" si="256"/>
        <v>0</v>
      </c>
      <c r="AI303" s="232">
        <f t="shared" si="257"/>
        <v>0</v>
      </c>
      <c r="AJ303" s="235">
        <f t="shared" si="258"/>
        <v>0</v>
      </c>
      <c r="AK303" s="269">
        <f t="shared" si="259"/>
        <v>0</v>
      </c>
      <c r="AL303" s="269">
        <f t="shared" si="225"/>
        <v>0</v>
      </c>
      <c r="AM303" s="281" t="e">
        <f>IF(B303&gt;=mpfo,pos*vvm*Dados!$E$122*(ntudv-SUM(U$301:$U304))-SUM($AM$13:AM302),0)</f>
        <v>#DIV/0!</v>
      </c>
      <c r="AN303" s="269" t="e">
        <f t="shared" si="260"/>
        <v>#DIV/0!</v>
      </c>
      <c r="AO303" s="232" t="e">
        <f t="shared" si="261"/>
        <v>#DIV/0!</v>
      </c>
      <c r="AP303" s="242" t="e">
        <f t="shared" si="262"/>
        <v>#DIV/0!</v>
      </c>
      <c r="AQ303" s="235" t="e">
        <f>IF(AP303+SUM($AQ$12:AQ302)&gt;=0,0,-AP303-SUM($AQ$12:AQ302))</f>
        <v>#DIV/0!</v>
      </c>
      <c r="AR303" s="235">
        <f>IF(SUM($N$13:N302)&gt;=pmo,IF(SUM(N302:$N$501)&gt;(1-pmo),B303,0),0)</f>
        <v>0</v>
      </c>
      <c r="AS303" s="235" t="e">
        <f>IF((SUM($U$13:$U302)/ntudv)&gt;=pmv,IF((SUM($U302:$U$501)/ntudv)&gt;(1-pmv),B303,0),0)</f>
        <v>#DIV/0!</v>
      </c>
      <c r="AT303" s="237" t="e">
        <f>IF(MAX(mmo,mmv)=mmo,IF(B303=AR303,(SUM(N$13:$N302)-pmo)/((1-VLOOKUP(MAX(mmo,mmv)-1,$B$13:$O$501,14))+(VLOOKUP(MAX(mmo,mmv)-1,$B$13:$O$501,14)-pmo)),N302/((1-VLOOKUP(MAX(mmo,mmv)-1,$B$13:$O$501,14)+(VLOOKUP(MAX(mmo,mmv)-1,$B$13:$O$501,14)-pmo)))),N302/(1-VLOOKUP(MAX(mmo,mmv)-2,$B$13:$O$501,14)))</f>
        <v>#DIV/0!</v>
      </c>
      <c r="AU303" s="101" t="e">
        <f t="shared" si="226"/>
        <v>#DIV/0!</v>
      </c>
      <c r="AV303" s="287" t="e">
        <f t="shared" si="227"/>
        <v>#DIV/0!</v>
      </c>
      <c r="AW303" s="235" t="e">
        <f t="shared" si="263"/>
        <v>#DIV/0!</v>
      </c>
      <c r="AX303" s="281">
        <f>IF(B303&gt;mpfo,0,IF(B303=mpfo,(vld-teo*(1+tcfo-incc)^(MAX(mmo,mmv)-mbfo))*-1,IF(SUM($N$13:N302)&gt;=pmo,IF(($V302/ntudv)&gt;=pmv,IF(B303=MAX(mmo,mmv),-teo*(1+tcfo-incc)^(B303-mbfo),0),0),0)))</f>
        <v>0</v>
      </c>
      <c r="AY303" s="292" t="e">
        <f t="shared" si="228"/>
        <v>#DIV/0!</v>
      </c>
      <c r="AZ303" s="235" t="e">
        <f t="shared" si="264"/>
        <v>#DIV/0!</v>
      </c>
      <c r="BA303" s="269" t="e">
        <f t="shared" si="265"/>
        <v>#DIV/0!</v>
      </c>
      <c r="BB303" s="292" t="e">
        <f t="shared" si="266"/>
        <v>#DIV/0!</v>
      </c>
      <c r="BC303" s="238" t="e">
        <f>IF(SUM($BC$13:BC302)&gt;0,0,IF(BB303&gt;0,B303,0))</f>
        <v>#DIV/0!</v>
      </c>
      <c r="BD303" s="292" t="e">
        <f>IF(BB303+SUM($BD$12:BD302)&gt;=0,0,-BB303-SUM($BD$12:BD302))</f>
        <v>#DIV/0!</v>
      </c>
      <c r="BE303" s="235" t="e">
        <f>BB303+SUM($BD$12:BD303)</f>
        <v>#DIV/0!</v>
      </c>
      <c r="BF303" s="292" t="e">
        <f>-MIN(BE303:$BE$501)-SUM(BF$12:$BF302)</f>
        <v>#DIV/0!</v>
      </c>
      <c r="BG303" s="235" t="e">
        <f t="shared" si="231"/>
        <v>#DIV/0!</v>
      </c>
    </row>
    <row r="304" spans="2:59">
      <c r="B304" s="246">
        <v>291</v>
      </c>
      <c r="C304" s="241">
        <f t="shared" si="230"/>
        <v>51537</v>
      </c>
      <c r="D304" s="229">
        <f t="shared" si="232"/>
        <v>2</v>
      </c>
      <c r="E304" s="230" t="str">
        <f t="shared" si="233"/>
        <v>-</v>
      </c>
      <c r="F304" s="231">
        <f t="shared" si="234"/>
        <v>0</v>
      </c>
      <c r="G304" s="231">
        <f t="shared" si="235"/>
        <v>0</v>
      </c>
      <c r="H304" s="231">
        <f t="shared" si="236"/>
        <v>0</v>
      </c>
      <c r="I304" s="268">
        <f t="shared" si="221"/>
        <v>0</v>
      </c>
      <c r="J304" s="269">
        <f t="shared" si="237"/>
        <v>0</v>
      </c>
      <c r="K304" s="269">
        <f t="shared" si="238"/>
        <v>0</v>
      </c>
      <c r="L304" s="269">
        <f t="shared" si="222"/>
        <v>0</v>
      </c>
      <c r="M304" s="269">
        <f t="shared" si="223"/>
        <v>0</v>
      </c>
      <c r="N304" s="233">
        <f>VLOOKUP(B304,Dados!$L$86:$P$90,5)</f>
        <v>0</v>
      </c>
      <c r="O304" s="270">
        <f t="shared" si="239"/>
        <v>0.99999999999999989</v>
      </c>
      <c r="P304" s="269">
        <f t="shared" si="240"/>
        <v>0</v>
      </c>
      <c r="Q304" s="269" t="e">
        <f t="shared" si="241"/>
        <v>#DIV/0!</v>
      </c>
      <c r="R304" s="269">
        <f t="shared" si="242"/>
        <v>0</v>
      </c>
      <c r="S304" s="269" t="e">
        <f t="shared" si="243"/>
        <v>#DIV/0!</v>
      </c>
      <c r="T304" s="269" t="e">
        <f t="shared" si="229"/>
        <v>#DIV/0!</v>
      </c>
      <c r="U304" s="234">
        <f t="shared" si="244"/>
        <v>0</v>
      </c>
      <c r="V304" s="232" t="e">
        <f t="shared" si="245"/>
        <v>#DIV/0!</v>
      </c>
      <c r="W304" s="269" t="e">
        <f t="shared" si="246"/>
        <v>#DIV/0!</v>
      </c>
      <c r="X304" s="235">
        <f t="shared" si="224"/>
        <v>0</v>
      </c>
      <c r="Y304" s="236">
        <f t="shared" si="247"/>
        <v>5</v>
      </c>
      <c r="Z304" s="236" t="e">
        <f t="shared" si="248"/>
        <v>#DIV/0!</v>
      </c>
      <c r="AA304" s="236">
        <f t="shared" si="249"/>
        <v>3</v>
      </c>
      <c r="AB304" s="236" t="e">
        <f t="shared" si="250"/>
        <v>#DIV/0!</v>
      </c>
      <c r="AC304" s="235">
        <f t="shared" si="251"/>
        <v>0</v>
      </c>
      <c r="AD304" s="235">
        <f t="shared" si="252"/>
        <v>0</v>
      </c>
      <c r="AE304" s="279">
        <f t="shared" si="253"/>
        <v>0</v>
      </c>
      <c r="AF304" s="232">
        <f t="shared" si="254"/>
        <v>0</v>
      </c>
      <c r="AG304" s="235">
        <f t="shared" si="255"/>
        <v>0</v>
      </c>
      <c r="AH304" s="269">
        <f t="shared" si="256"/>
        <v>0</v>
      </c>
      <c r="AI304" s="232">
        <f t="shared" si="257"/>
        <v>0</v>
      </c>
      <c r="AJ304" s="235">
        <f t="shared" si="258"/>
        <v>0</v>
      </c>
      <c r="AK304" s="269">
        <f t="shared" si="259"/>
        <v>0</v>
      </c>
      <c r="AL304" s="269">
        <f t="shared" si="225"/>
        <v>0</v>
      </c>
      <c r="AM304" s="281" t="e">
        <f>IF(B304&gt;=mpfo,pos*vvm*Dados!$E$122*(ntudv-SUM(U$301:$U305))-SUM($AM$13:AM303),0)</f>
        <v>#DIV/0!</v>
      </c>
      <c r="AN304" s="269" t="e">
        <f t="shared" si="260"/>
        <v>#DIV/0!</v>
      </c>
      <c r="AO304" s="232" t="e">
        <f t="shared" si="261"/>
        <v>#DIV/0!</v>
      </c>
      <c r="AP304" s="242" t="e">
        <f t="shared" si="262"/>
        <v>#DIV/0!</v>
      </c>
      <c r="AQ304" s="235" t="e">
        <f>IF(AP304+SUM($AQ$12:AQ303)&gt;=0,0,-AP304-SUM($AQ$12:AQ303))</f>
        <v>#DIV/0!</v>
      </c>
      <c r="AR304" s="235">
        <f>IF(SUM($N$13:N303)&gt;=pmo,IF(SUM(N303:$N$501)&gt;(1-pmo),B304,0),0)</f>
        <v>0</v>
      </c>
      <c r="AS304" s="235" t="e">
        <f>IF((SUM($U$13:$U303)/ntudv)&gt;=pmv,IF((SUM($U303:$U$501)/ntudv)&gt;(1-pmv),B304,0),0)</f>
        <v>#DIV/0!</v>
      </c>
      <c r="AT304" s="237" t="e">
        <f>IF(MAX(mmo,mmv)=mmo,IF(B304=AR304,(SUM(N$13:$N303)-pmo)/((1-VLOOKUP(MAX(mmo,mmv)-1,$B$13:$O$501,14))+(VLOOKUP(MAX(mmo,mmv)-1,$B$13:$O$501,14)-pmo)),N303/((1-VLOOKUP(MAX(mmo,mmv)-1,$B$13:$O$501,14)+(VLOOKUP(MAX(mmo,mmv)-1,$B$13:$O$501,14)-pmo)))),N303/(1-VLOOKUP(MAX(mmo,mmv)-2,$B$13:$O$501,14)))</f>
        <v>#DIV/0!</v>
      </c>
      <c r="AU304" s="101" t="e">
        <f t="shared" si="226"/>
        <v>#DIV/0!</v>
      </c>
      <c r="AV304" s="287" t="e">
        <f t="shared" si="227"/>
        <v>#DIV/0!</v>
      </c>
      <c r="AW304" s="235" t="e">
        <f t="shared" si="263"/>
        <v>#DIV/0!</v>
      </c>
      <c r="AX304" s="281">
        <f>IF(B304&gt;mpfo,0,IF(B304=mpfo,(vld-teo*(1+tcfo-incc)^(MAX(mmo,mmv)-mbfo))*-1,IF(SUM($N$13:N303)&gt;=pmo,IF(($V303/ntudv)&gt;=pmv,IF(B304=MAX(mmo,mmv),-teo*(1+tcfo-incc)^(B304-mbfo),0),0),0)))</f>
        <v>0</v>
      </c>
      <c r="AY304" s="292" t="e">
        <f t="shared" si="228"/>
        <v>#DIV/0!</v>
      </c>
      <c r="AZ304" s="235" t="e">
        <f t="shared" si="264"/>
        <v>#DIV/0!</v>
      </c>
      <c r="BA304" s="269" t="e">
        <f t="shared" si="265"/>
        <v>#DIV/0!</v>
      </c>
      <c r="BB304" s="292" t="e">
        <f t="shared" si="266"/>
        <v>#DIV/0!</v>
      </c>
      <c r="BC304" s="238" t="e">
        <f>IF(SUM($BC$13:BC303)&gt;0,0,IF(BB304&gt;0,B304,0))</f>
        <v>#DIV/0!</v>
      </c>
      <c r="BD304" s="292" t="e">
        <f>IF(BB304+SUM($BD$12:BD303)&gt;=0,0,-BB304-SUM($BD$12:BD303))</f>
        <v>#DIV/0!</v>
      </c>
      <c r="BE304" s="235" t="e">
        <f>BB304+SUM($BD$12:BD304)</f>
        <v>#DIV/0!</v>
      </c>
      <c r="BF304" s="292" t="e">
        <f>-MIN(BE304:$BE$501)-SUM(BF$12:$BF303)</f>
        <v>#DIV/0!</v>
      </c>
      <c r="BG304" s="235" t="e">
        <f t="shared" si="231"/>
        <v>#DIV/0!</v>
      </c>
    </row>
    <row r="305" spans="2:59">
      <c r="B305" s="120">
        <v>292</v>
      </c>
      <c r="C305" s="241">
        <f t="shared" si="230"/>
        <v>51565</v>
      </c>
      <c r="D305" s="229">
        <f t="shared" si="232"/>
        <v>3</v>
      </c>
      <c r="E305" s="230" t="str">
        <f t="shared" si="233"/>
        <v>-</v>
      </c>
      <c r="F305" s="231">
        <f t="shared" si="234"/>
        <v>0</v>
      </c>
      <c r="G305" s="231">
        <f t="shared" si="235"/>
        <v>0</v>
      </c>
      <c r="H305" s="231">
        <f t="shared" si="236"/>
        <v>0</v>
      </c>
      <c r="I305" s="268">
        <f t="shared" si="221"/>
        <v>0</v>
      </c>
      <c r="J305" s="269">
        <f t="shared" si="237"/>
        <v>0</v>
      </c>
      <c r="K305" s="269">
        <f t="shared" si="238"/>
        <v>0</v>
      </c>
      <c r="L305" s="269">
        <f t="shared" si="222"/>
        <v>0</v>
      </c>
      <c r="M305" s="269">
        <f t="shared" si="223"/>
        <v>0</v>
      </c>
      <c r="N305" s="233">
        <f>VLOOKUP(B305,Dados!$L$86:$P$90,5)</f>
        <v>0</v>
      </c>
      <c r="O305" s="270">
        <f t="shared" si="239"/>
        <v>0.99999999999999989</v>
      </c>
      <c r="P305" s="269">
        <f t="shared" si="240"/>
        <v>0</v>
      </c>
      <c r="Q305" s="269" t="e">
        <f t="shared" si="241"/>
        <v>#DIV/0!</v>
      </c>
      <c r="R305" s="269">
        <f t="shared" si="242"/>
        <v>0</v>
      </c>
      <c r="S305" s="269" t="e">
        <f t="shared" si="243"/>
        <v>#DIV/0!</v>
      </c>
      <c r="T305" s="269" t="e">
        <f t="shared" si="229"/>
        <v>#DIV/0!</v>
      </c>
      <c r="U305" s="234">
        <f t="shared" si="244"/>
        <v>0</v>
      </c>
      <c r="V305" s="232" t="e">
        <f t="shared" si="245"/>
        <v>#DIV/0!</v>
      </c>
      <c r="W305" s="269" t="e">
        <f t="shared" si="246"/>
        <v>#DIV/0!</v>
      </c>
      <c r="X305" s="235">
        <f t="shared" si="224"/>
        <v>0</v>
      </c>
      <c r="Y305" s="236">
        <f t="shared" si="247"/>
        <v>5</v>
      </c>
      <c r="Z305" s="236" t="e">
        <f t="shared" si="248"/>
        <v>#DIV/0!</v>
      </c>
      <c r="AA305" s="236">
        <f t="shared" si="249"/>
        <v>3</v>
      </c>
      <c r="AB305" s="236" t="e">
        <f t="shared" si="250"/>
        <v>#DIV/0!</v>
      </c>
      <c r="AC305" s="235">
        <f t="shared" si="251"/>
        <v>0</v>
      </c>
      <c r="AD305" s="235">
        <f t="shared" si="252"/>
        <v>0</v>
      </c>
      <c r="AE305" s="279">
        <f t="shared" si="253"/>
        <v>0</v>
      </c>
      <c r="AF305" s="232">
        <f t="shared" si="254"/>
        <v>0</v>
      </c>
      <c r="AG305" s="235">
        <f t="shared" si="255"/>
        <v>0</v>
      </c>
      <c r="AH305" s="269">
        <f t="shared" si="256"/>
        <v>0</v>
      </c>
      <c r="AI305" s="232">
        <f t="shared" si="257"/>
        <v>0</v>
      </c>
      <c r="AJ305" s="235">
        <f t="shared" si="258"/>
        <v>0</v>
      </c>
      <c r="AK305" s="269">
        <f t="shared" si="259"/>
        <v>0</v>
      </c>
      <c r="AL305" s="269">
        <f t="shared" si="225"/>
        <v>0</v>
      </c>
      <c r="AM305" s="281" t="e">
        <f>IF(B305&gt;=mpfo,pos*vvm*Dados!$E$122*(ntudv-SUM(U$301:$U306))-SUM($AM$13:AM304),0)</f>
        <v>#DIV/0!</v>
      </c>
      <c r="AN305" s="269" t="e">
        <f t="shared" si="260"/>
        <v>#DIV/0!</v>
      </c>
      <c r="AO305" s="232" t="e">
        <f t="shared" si="261"/>
        <v>#DIV/0!</v>
      </c>
      <c r="AP305" s="242" t="e">
        <f t="shared" si="262"/>
        <v>#DIV/0!</v>
      </c>
      <c r="AQ305" s="235" t="e">
        <f>IF(AP305+SUM($AQ$12:AQ304)&gt;=0,0,-AP305-SUM($AQ$12:AQ304))</f>
        <v>#DIV/0!</v>
      </c>
      <c r="AR305" s="235">
        <f>IF(SUM($N$13:N304)&gt;=pmo,IF(SUM(N304:$N$501)&gt;(1-pmo),B305,0),0)</f>
        <v>0</v>
      </c>
      <c r="AS305" s="235" t="e">
        <f>IF((SUM($U$13:$U304)/ntudv)&gt;=pmv,IF((SUM($U304:$U$501)/ntudv)&gt;(1-pmv),B305,0),0)</f>
        <v>#DIV/0!</v>
      </c>
      <c r="AT305" s="237" t="e">
        <f>IF(MAX(mmo,mmv)=mmo,IF(B305=AR305,(SUM(N$13:$N304)-pmo)/((1-VLOOKUP(MAX(mmo,mmv)-1,$B$13:$O$501,14))+(VLOOKUP(MAX(mmo,mmv)-1,$B$13:$O$501,14)-pmo)),N304/((1-VLOOKUP(MAX(mmo,mmv)-1,$B$13:$O$501,14)+(VLOOKUP(MAX(mmo,mmv)-1,$B$13:$O$501,14)-pmo)))),N304/(1-VLOOKUP(MAX(mmo,mmv)-2,$B$13:$O$501,14)))</f>
        <v>#DIV/0!</v>
      </c>
      <c r="AU305" s="101" t="e">
        <f t="shared" si="226"/>
        <v>#DIV/0!</v>
      </c>
      <c r="AV305" s="287" t="e">
        <f t="shared" si="227"/>
        <v>#DIV/0!</v>
      </c>
      <c r="AW305" s="235" t="e">
        <f t="shared" si="263"/>
        <v>#DIV/0!</v>
      </c>
      <c r="AX305" s="281">
        <f>IF(B305&gt;mpfo,0,IF(B305=mpfo,(vld-teo*(1+tcfo-incc)^(MAX(mmo,mmv)-mbfo))*-1,IF(SUM($N$13:N304)&gt;=pmo,IF(($V304/ntudv)&gt;=pmv,IF(B305=MAX(mmo,mmv),-teo*(1+tcfo-incc)^(B305-mbfo),0),0),0)))</f>
        <v>0</v>
      </c>
      <c r="AY305" s="292" t="e">
        <f t="shared" si="228"/>
        <v>#DIV/0!</v>
      </c>
      <c r="AZ305" s="235" t="e">
        <f t="shared" si="264"/>
        <v>#DIV/0!</v>
      </c>
      <c r="BA305" s="269" t="e">
        <f t="shared" si="265"/>
        <v>#DIV/0!</v>
      </c>
      <c r="BB305" s="292" t="e">
        <f t="shared" si="266"/>
        <v>#DIV/0!</v>
      </c>
      <c r="BC305" s="238" t="e">
        <f>IF(SUM($BC$13:BC304)&gt;0,0,IF(BB305&gt;0,B305,0))</f>
        <v>#DIV/0!</v>
      </c>
      <c r="BD305" s="292" t="e">
        <f>IF(BB305+SUM($BD$12:BD304)&gt;=0,0,-BB305-SUM($BD$12:BD304))</f>
        <v>#DIV/0!</v>
      </c>
      <c r="BE305" s="235" t="e">
        <f>BB305+SUM($BD$12:BD305)</f>
        <v>#DIV/0!</v>
      </c>
      <c r="BF305" s="292" t="e">
        <f>-MIN(BE305:$BE$501)-SUM(BF$12:$BF304)</f>
        <v>#DIV/0!</v>
      </c>
      <c r="BG305" s="235" t="e">
        <f t="shared" si="231"/>
        <v>#DIV/0!</v>
      </c>
    </row>
    <row r="306" spans="2:59">
      <c r="B306" s="246">
        <v>293</v>
      </c>
      <c r="C306" s="241">
        <f t="shared" si="230"/>
        <v>51596</v>
      </c>
      <c r="D306" s="229">
        <f t="shared" si="232"/>
        <v>4</v>
      </c>
      <c r="E306" s="230" t="str">
        <f t="shared" si="233"/>
        <v>-</v>
      </c>
      <c r="F306" s="231">
        <f t="shared" si="234"/>
        <v>0</v>
      </c>
      <c r="G306" s="231">
        <f t="shared" si="235"/>
        <v>0</v>
      </c>
      <c r="H306" s="231">
        <f t="shared" si="236"/>
        <v>0</v>
      </c>
      <c r="I306" s="268">
        <f t="shared" si="221"/>
        <v>0</v>
      </c>
      <c r="J306" s="269">
        <f t="shared" si="237"/>
        <v>0</v>
      </c>
      <c r="K306" s="269">
        <f t="shared" si="238"/>
        <v>0</v>
      </c>
      <c r="L306" s="269">
        <f t="shared" si="222"/>
        <v>0</v>
      </c>
      <c r="M306" s="269">
        <f t="shared" si="223"/>
        <v>0</v>
      </c>
      <c r="N306" s="233">
        <f>VLOOKUP(B306,Dados!$L$86:$P$90,5)</f>
        <v>0</v>
      </c>
      <c r="O306" s="270">
        <f t="shared" si="239"/>
        <v>0.99999999999999989</v>
      </c>
      <c r="P306" s="269">
        <f t="shared" si="240"/>
        <v>0</v>
      </c>
      <c r="Q306" s="269" t="e">
        <f t="shared" si="241"/>
        <v>#DIV/0!</v>
      </c>
      <c r="R306" s="269">
        <f t="shared" si="242"/>
        <v>0</v>
      </c>
      <c r="S306" s="269" t="e">
        <f t="shared" si="243"/>
        <v>#DIV/0!</v>
      </c>
      <c r="T306" s="269" t="e">
        <f t="shared" si="229"/>
        <v>#DIV/0!</v>
      </c>
      <c r="U306" s="234">
        <f t="shared" si="244"/>
        <v>0</v>
      </c>
      <c r="V306" s="232" t="e">
        <f t="shared" si="245"/>
        <v>#DIV/0!</v>
      </c>
      <c r="W306" s="269" t="e">
        <f t="shared" si="246"/>
        <v>#DIV/0!</v>
      </c>
      <c r="X306" s="235">
        <f t="shared" si="224"/>
        <v>0</v>
      </c>
      <c r="Y306" s="236">
        <f t="shared" si="247"/>
        <v>5</v>
      </c>
      <c r="Z306" s="236" t="e">
        <f t="shared" si="248"/>
        <v>#DIV/0!</v>
      </c>
      <c r="AA306" s="236">
        <f t="shared" si="249"/>
        <v>3</v>
      </c>
      <c r="AB306" s="236" t="e">
        <f t="shared" si="250"/>
        <v>#DIV/0!</v>
      </c>
      <c r="AC306" s="235">
        <f t="shared" si="251"/>
        <v>0</v>
      </c>
      <c r="AD306" s="235">
        <f t="shared" si="252"/>
        <v>0</v>
      </c>
      <c r="AE306" s="279">
        <f t="shared" si="253"/>
        <v>0</v>
      </c>
      <c r="AF306" s="232">
        <f t="shared" si="254"/>
        <v>0</v>
      </c>
      <c r="AG306" s="235">
        <f t="shared" si="255"/>
        <v>0</v>
      </c>
      <c r="AH306" s="269">
        <f t="shared" si="256"/>
        <v>0</v>
      </c>
      <c r="AI306" s="232">
        <f t="shared" si="257"/>
        <v>0</v>
      </c>
      <c r="AJ306" s="235">
        <f t="shared" si="258"/>
        <v>0</v>
      </c>
      <c r="AK306" s="269">
        <f t="shared" si="259"/>
        <v>0</v>
      </c>
      <c r="AL306" s="269">
        <f t="shared" si="225"/>
        <v>0</v>
      </c>
      <c r="AM306" s="281" t="e">
        <f>IF(B306&gt;=mpfo,pos*vvm*Dados!$E$122*(ntudv-SUM(U$301:$U307))-SUM($AM$13:AM305),0)</f>
        <v>#DIV/0!</v>
      </c>
      <c r="AN306" s="269" t="e">
        <f t="shared" si="260"/>
        <v>#DIV/0!</v>
      </c>
      <c r="AO306" s="232" t="e">
        <f t="shared" si="261"/>
        <v>#DIV/0!</v>
      </c>
      <c r="AP306" s="242" t="e">
        <f t="shared" si="262"/>
        <v>#DIV/0!</v>
      </c>
      <c r="AQ306" s="235" t="e">
        <f>IF(AP306+SUM($AQ$12:AQ305)&gt;=0,0,-AP306-SUM($AQ$12:AQ305))</f>
        <v>#DIV/0!</v>
      </c>
      <c r="AR306" s="235">
        <f>IF(SUM($N$13:N305)&gt;=pmo,IF(SUM(N305:$N$501)&gt;(1-pmo),B306,0),0)</f>
        <v>0</v>
      </c>
      <c r="AS306" s="235" t="e">
        <f>IF((SUM($U$13:$U305)/ntudv)&gt;=pmv,IF((SUM($U305:$U$501)/ntudv)&gt;(1-pmv),B306,0),0)</f>
        <v>#DIV/0!</v>
      </c>
      <c r="AT306" s="237" t="e">
        <f>IF(MAX(mmo,mmv)=mmo,IF(B306=AR306,(SUM(N$13:$N305)-pmo)/((1-VLOOKUP(MAX(mmo,mmv)-1,$B$13:$O$501,14))+(VLOOKUP(MAX(mmo,mmv)-1,$B$13:$O$501,14)-pmo)),N305/((1-VLOOKUP(MAX(mmo,mmv)-1,$B$13:$O$501,14)+(VLOOKUP(MAX(mmo,mmv)-1,$B$13:$O$501,14)-pmo)))),N305/(1-VLOOKUP(MAX(mmo,mmv)-2,$B$13:$O$501,14)))</f>
        <v>#DIV/0!</v>
      </c>
      <c r="AU306" s="101" t="e">
        <f t="shared" si="226"/>
        <v>#DIV/0!</v>
      </c>
      <c r="AV306" s="287" t="e">
        <f t="shared" si="227"/>
        <v>#DIV/0!</v>
      </c>
      <c r="AW306" s="235" t="e">
        <f t="shared" si="263"/>
        <v>#DIV/0!</v>
      </c>
      <c r="AX306" s="281">
        <f>IF(B306&gt;mpfo,0,IF(B306=mpfo,(vld-teo*(1+tcfo-incc)^(MAX(mmo,mmv)-mbfo))*-1,IF(SUM($N$13:N305)&gt;=pmo,IF(($V305/ntudv)&gt;=pmv,IF(B306=MAX(mmo,mmv),-teo*(1+tcfo-incc)^(B306-mbfo),0),0),0)))</f>
        <v>0</v>
      </c>
      <c r="AY306" s="292" t="e">
        <f t="shared" si="228"/>
        <v>#DIV/0!</v>
      </c>
      <c r="AZ306" s="235" t="e">
        <f t="shared" si="264"/>
        <v>#DIV/0!</v>
      </c>
      <c r="BA306" s="269" t="e">
        <f t="shared" si="265"/>
        <v>#DIV/0!</v>
      </c>
      <c r="BB306" s="292" t="e">
        <f t="shared" si="266"/>
        <v>#DIV/0!</v>
      </c>
      <c r="BC306" s="238" t="e">
        <f>IF(SUM($BC$13:BC305)&gt;0,0,IF(BB306&gt;0,B306,0))</f>
        <v>#DIV/0!</v>
      </c>
      <c r="BD306" s="292" t="e">
        <f>IF(BB306+SUM($BD$12:BD305)&gt;=0,0,-BB306-SUM($BD$12:BD305))</f>
        <v>#DIV/0!</v>
      </c>
      <c r="BE306" s="235" t="e">
        <f>BB306+SUM($BD$12:BD306)</f>
        <v>#DIV/0!</v>
      </c>
      <c r="BF306" s="292" t="e">
        <f>-MIN(BE306:$BE$501)-SUM(BF$12:$BF305)</f>
        <v>#DIV/0!</v>
      </c>
      <c r="BG306" s="235" t="e">
        <f t="shared" si="231"/>
        <v>#DIV/0!</v>
      </c>
    </row>
    <row r="307" spans="2:59">
      <c r="B307" s="120">
        <v>294</v>
      </c>
      <c r="C307" s="241">
        <f t="shared" si="230"/>
        <v>51626</v>
      </c>
      <c r="D307" s="229">
        <f t="shared" si="232"/>
        <v>5</v>
      </c>
      <c r="E307" s="230" t="str">
        <f t="shared" si="233"/>
        <v>-</v>
      </c>
      <c r="F307" s="231">
        <f t="shared" si="234"/>
        <v>0</v>
      </c>
      <c r="G307" s="231">
        <f t="shared" si="235"/>
        <v>0</v>
      </c>
      <c r="H307" s="231">
        <f t="shared" si="236"/>
        <v>0</v>
      </c>
      <c r="I307" s="268">
        <f t="shared" si="221"/>
        <v>0</v>
      </c>
      <c r="J307" s="269">
        <f t="shared" si="237"/>
        <v>0</v>
      </c>
      <c r="K307" s="269">
        <f t="shared" si="238"/>
        <v>0</v>
      </c>
      <c r="L307" s="269">
        <f t="shared" si="222"/>
        <v>0</v>
      </c>
      <c r="M307" s="269">
        <f t="shared" si="223"/>
        <v>0</v>
      </c>
      <c r="N307" s="233">
        <f>VLOOKUP(B307,Dados!$L$86:$P$90,5)</f>
        <v>0</v>
      </c>
      <c r="O307" s="270">
        <f t="shared" si="239"/>
        <v>0.99999999999999989</v>
      </c>
      <c r="P307" s="269">
        <f t="shared" si="240"/>
        <v>0</v>
      </c>
      <c r="Q307" s="269" t="e">
        <f t="shared" si="241"/>
        <v>#DIV/0!</v>
      </c>
      <c r="R307" s="269">
        <f t="shared" si="242"/>
        <v>0</v>
      </c>
      <c r="S307" s="269" t="e">
        <f t="shared" si="243"/>
        <v>#DIV/0!</v>
      </c>
      <c r="T307" s="269" t="e">
        <f t="shared" si="229"/>
        <v>#DIV/0!</v>
      </c>
      <c r="U307" s="234">
        <f t="shared" si="244"/>
        <v>0</v>
      </c>
      <c r="V307" s="232" t="e">
        <f t="shared" si="245"/>
        <v>#DIV/0!</v>
      </c>
      <c r="W307" s="269" t="e">
        <f t="shared" si="246"/>
        <v>#DIV/0!</v>
      </c>
      <c r="X307" s="235">
        <f t="shared" si="224"/>
        <v>0</v>
      </c>
      <c r="Y307" s="236">
        <f t="shared" si="247"/>
        <v>5</v>
      </c>
      <c r="Z307" s="236" t="e">
        <f t="shared" si="248"/>
        <v>#DIV/0!</v>
      </c>
      <c r="AA307" s="236">
        <f t="shared" si="249"/>
        <v>3</v>
      </c>
      <c r="AB307" s="236" t="e">
        <f t="shared" si="250"/>
        <v>#DIV/0!</v>
      </c>
      <c r="AC307" s="235">
        <f t="shared" si="251"/>
        <v>0</v>
      </c>
      <c r="AD307" s="235">
        <f t="shared" si="252"/>
        <v>0</v>
      </c>
      <c r="AE307" s="279">
        <f t="shared" si="253"/>
        <v>0</v>
      </c>
      <c r="AF307" s="232">
        <f t="shared" si="254"/>
        <v>0</v>
      </c>
      <c r="AG307" s="235">
        <f t="shared" si="255"/>
        <v>0</v>
      </c>
      <c r="AH307" s="269">
        <f t="shared" si="256"/>
        <v>0</v>
      </c>
      <c r="AI307" s="232">
        <f t="shared" si="257"/>
        <v>0</v>
      </c>
      <c r="AJ307" s="235">
        <f t="shared" si="258"/>
        <v>0</v>
      </c>
      <c r="AK307" s="269">
        <f t="shared" si="259"/>
        <v>0</v>
      </c>
      <c r="AL307" s="269">
        <f t="shared" si="225"/>
        <v>0</v>
      </c>
      <c r="AM307" s="281" t="e">
        <f>IF(B307&gt;=mpfo,pos*vvm*Dados!$E$122*(ntudv-SUM(U$301:$U308))-SUM($AM$13:AM306),0)</f>
        <v>#DIV/0!</v>
      </c>
      <c r="AN307" s="269" t="e">
        <f t="shared" si="260"/>
        <v>#DIV/0!</v>
      </c>
      <c r="AO307" s="232" t="e">
        <f t="shared" si="261"/>
        <v>#DIV/0!</v>
      </c>
      <c r="AP307" s="242" t="e">
        <f t="shared" si="262"/>
        <v>#DIV/0!</v>
      </c>
      <c r="AQ307" s="235" t="e">
        <f>IF(AP307+SUM($AQ$12:AQ306)&gt;=0,0,-AP307-SUM($AQ$12:AQ306))</f>
        <v>#DIV/0!</v>
      </c>
      <c r="AR307" s="235">
        <f>IF(SUM($N$13:N306)&gt;=pmo,IF(SUM(N306:$N$501)&gt;(1-pmo),B307,0),0)</f>
        <v>0</v>
      </c>
      <c r="AS307" s="235" t="e">
        <f>IF((SUM($U$13:$U306)/ntudv)&gt;=pmv,IF((SUM($U306:$U$501)/ntudv)&gt;(1-pmv),B307,0),0)</f>
        <v>#DIV/0!</v>
      </c>
      <c r="AT307" s="237" t="e">
        <f>IF(MAX(mmo,mmv)=mmo,IF(B307=AR307,(SUM(N$13:$N306)-pmo)/((1-VLOOKUP(MAX(mmo,mmv)-1,$B$13:$O$501,14))+(VLOOKUP(MAX(mmo,mmv)-1,$B$13:$O$501,14)-pmo)),N306/((1-VLOOKUP(MAX(mmo,mmv)-1,$B$13:$O$501,14)+(VLOOKUP(MAX(mmo,mmv)-1,$B$13:$O$501,14)-pmo)))),N306/(1-VLOOKUP(MAX(mmo,mmv)-2,$B$13:$O$501,14)))</f>
        <v>#DIV/0!</v>
      </c>
      <c r="AU307" s="101" t="e">
        <f t="shared" si="226"/>
        <v>#DIV/0!</v>
      </c>
      <c r="AV307" s="287" t="e">
        <f t="shared" si="227"/>
        <v>#DIV/0!</v>
      </c>
      <c r="AW307" s="235" t="e">
        <f t="shared" si="263"/>
        <v>#DIV/0!</v>
      </c>
      <c r="AX307" s="281">
        <f>IF(B307&gt;mpfo,0,IF(B307=mpfo,(vld-teo*(1+tcfo-incc)^(MAX(mmo,mmv)-mbfo))*-1,IF(SUM($N$13:N306)&gt;=pmo,IF(($V306/ntudv)&gt;=pmv,IF(B307=MAX(mmo,mmv),-teo*(1+tcfo-incc)^(B307-mbfo),0),0),0)))</f>
        <v>0</v>
      </c>
      <c r="AY307" s="292" t="e">
        <f t="shared" si="228"/>
        <v>#DIV/0!</v>
      </c>
      <c r="AZ307" s="235" t="e">
        <f t="shared" si="264"/>
        <v>#DIV/0!</v>
      </c>
      <c r="BA307" s="269" t="e">
        <f t="shared" si="265"/>
        <v>#DIV/0!</v>
      </c>
      <c r="BB307" s="292" t="e">
        <f t="shared" si="266"/>
        <v>#DIV/0!</v>
      </c>
      <c r="BC307" s="238" t="e">
        <f>IF(SUM($BC$13:BC306)&gt;0,0,IF(BB307&gt;0,B307,0))</f>
        <v>#DIV/0!</v>
      </c>
      <c r="BD307" s="292" t="e">
        <f>IF(BB307+SUM($BD$12:BD306)&gt;=0,0,-BB307-SUM($BD$12:BD306))</f>
        <v>#DIV/0!</v>
      </c>
      <c r="BE307" s="235" t="e">
        <f>BB307+SUM($BD$12:BD307)</f>
        <v>#DIV/0!</v>
      </c>
      <c r="BF307" s="292" t="e">
        <f>-MIN(BE307:$BE$501)-SUM(BF$12:$BF306)</f>
        <v>#DIV/0!</v>
      </c>
      <c r="BG307" s="235" t="e">
        <f t="shared" si="231"/>
        <v>#DIV/0!</v>
      </c>
    </row>
    <row r="308" spans="2:59">
      <c r="B308" s="246">
        <v>295</v>
      </c>
      <c r="C308" s="241">
        <f t="shared" si="230"/>
        <v>51657</v>
      </c>
      <c r="D308" s="229">
        <f t="shared" si="232"/>
        <v>6</v>
      </c>
      <c r="E308" s="230" t="str">
        <f t="shared" si="233"/>
        <v>-</v>
      </c>
      <c r="F308" s="231">
        <f t="shared" si="234"/>
        <v>0</v>
      </c>
      <c r="G308" s="231">
        <f t="shared" si="235"/>
        <v>0</v>
      </c>
      <c r="H308" s="231">
        <f t="shared" si="236"/>
        <v>0</v>
      </c>
      <c r="I308" s="268">
        <f t="shared" si="221"/>
        <v>0</v>
      </c>
      <c r="J308" s="269">
        <f t="shared" si="237"/>
        <v>0</v>
      </c>
      <c r="K308" s="269">
        <f t="shared" si="238"/>
        <v>0</v>
      </c>
      <c r="L308" s="269">
        <f t="shared" si="222"/>
        <v>0</v>
      </c>
      <c r="M308" s="269">
        <f t="shared" si="223"/>
        <v>0</v>
      </c>
      <c r="N308" s="233">
        <f>VLOOKUP(B308,Dados!$L$86:$P$90,5)</f>
        <v>0</v>
      </c>
      <c r="O308" s="270">
        <f t="shared" si="239"/>
        <v>0.99999999999999989</v>
      </c>
      <c r="P308" s="269">
        <f t="shared" si="240"/>
        <v>0</v>
      </c>
      <c r="Q308" s="269" t="e">
        <f t="shared" si="241"/>
        <v>#DIV/0!</v>
      </c>
      <c r="R308" s="269">
        <f t="shared" si="242"/>
        <v>0</v>
      </c>
      <c r="S308" s="269" t="e">
        <f t="shared" si="243"/>
        <v>#DIV/0!</v>
      </c>
      <c r="T308" s="269" t="e">
        <f t="shared" si="229"/>
        <v>#DIV/0!</v>
      </c>
      <c r="U308" s="234">
        <f t="shared" si="244"/>
        <v>0</v>
      </c>
      <c r="V308" s="232" t="e">
        <f t="shared" si="245"/>
        <v>#DIV/0!</v>
      </c>
      <c r="W308" s="269" t="e">
        <f t="shared" si="246"/>
        <v>#DIV/0!</v>
      </c>
      <c r="X308" s="235">
        <f t="shared" si="224"/>
        <v>0</v>
      </c>
      <c r="Y308" s="236">
        <f t="shared" si="247"/>
        <v>5</v>
      </c>
      <c r="Z308" s="236" t="e">
        <f t="shared" si="248"/>
        <v>#DIV/0!</v>
      </c>
      <c r="AA308" s="236">
        <f t="shared" si="249"/>
        <v>3</v>
      </c>
      <c r="AB308" s="236" t="e">
        <f t="shared" si="250"/>
        <v>#DIV/0!</v>
      </c>
      <c r="AC308" s="235">
        <f t="shared" si="251"/>
        <v>0</v>
      </c>
      <c r="AD308" s="235">
        <f t="shared" si="252"/>
        <v>0</v>
      </c>
      <c r="AE308" s="279">
        <f t="shared" si="253"/>
        <v>0</v>
      </c>
      <c r="AF308" s="232">
        <f t="shared" si="254"/>
        <v>1</v>
      </c>
      <c r="AG308" s="235">
        <f t="shared" si="255"/>
        <v>0</v>
      </c>
      <c r="AH308" s="269">
        <f t="shared" si="256"/>
        <v>0</v>
      </c>
      <c r="AI308" s="232">
        <f t="shared" si="257"/>
        <v>0</v>
      </c>
      <c r="AJ308" s="235">
        <f t="shared" si="258"/>
        <v>0</v>
      </c>
      <c r="AK308" s="269">
        <f t="shared" si="259"/>
        <v>0</v>
      </c>
      <c r="AL308" s="269">
        <f t="shared" si="225"/>
        <v>0</v>
      </c>
      <c r="AM308" s="281" t="e">
        <f>IF(B308&gt;=mpfo,pos*vvm*Dados!$E$122*(ntudv-SUM(U$301:$U309))-SUM($AM$13:AM307),0)</f>
        <v>#DIV/0!</v>
      </c>
      <c r="AN308" s="269" t="e">
        <f t="shared" si="260"/>
        <v>#DIV/0!</v>
      </c>
      <c r="AO308" s="232" t="e">
        <f t="shared" si="261"/>
        <v>#DIV/0!</v>
      </c>
      <c r="AP308" s="242" t="e">
        <f t="shared" si="262"/>
        <v>#DIV/0!</v>
      </c>
      <c r="AQ308" s="235" t="e">
        <f>IF(AP308+SUM($AQ$12:AQ307)&gt;=0,0,-AP308-SUM($AQ$12:AQ307))</f>
        <v>#DIV/0!</v>
      </c>
      <c r="AR308" s="235">
        <f>IF(SUM($N$13:N307)&gt;=pmo,IF(SUM(N307:$N$501)&gt;(1-pmo),B308,0),0)</f>
        <v>0</v>
      </c>
      <c r="AS308" s="235" t="e">
        <f>IF((SUM($U$13:$U307)/ntudv)&gt;=pmv,IF((SUM($U307:$U$501)/ntudv)&gt;(1-pmv),B308,0),0)</f>
        <v>#DIV/0!</v>
      </c>
      <c r="AT308" s="237" t="e">
        <f>IF(MAX(mmo,mmv)=mmo,IF(B308=AR308,(SUM(N$13:$N307)-pmo)/((1-VLOOKUP(MAX(mmo,mmv)-1,$B$13:$O$501,14))+(VLOOKUP(MAX(mmo,mmv)-1,$B$13:$O$501,14)-pmo)),N307/((1-VLOOKUP(MAX(mmo,mmv)-1,$B$13:$O$501,14)+(VLOOKUP(MAX(mmo,mmv)-1,$B$13:$O$501,14)-pmo)))),N307/(1-VLOOKUP(MAX(mmo,mmv)-2,$B$13:$O$501,14)))</f>
        <v>#DIV/0!</v>
      </c>
      <c r="AU308" s="101" t="e">
        <f t="shared" si="226"/>
        <v>#DIV/0!</v>
      </c>
      <c r="AV308" s="287" t="e">
        <f t="shared" si="227"/>
        <v>#DIV/0!</v>
      </c>
      <c r="AW308" s="235" t="e">
        <f t="shared" si="263"/>
        <v>#DIV/0!</v>
      </c>
      <c r="AX308" s="281">
        <f>IF(B308&gt;mpfo,0,IF(B308=mpfo,(vld-teo*(1+tcfo-incc)^(MAX(mmo,mmv)-mbfo))*-1,IF(SUM($N$13:N307)&gt;=pmo,IF(($V307/ntudv)&gt;=pmv,IF(B308=MAX(mmo,mmv),-teo*(1+tcfo-incc)^(B308-mbfo),0),0),0)))</f>
        <v>0</v>
      </c>
      <c r="AY308" s="292" t="e">
        <f t="shared" si="228"/>
        <v>#DIV/0!</v>
      </c>
      <c r="AZ308" s="235" t="e">
        <f t="shared" si="264"/>
        <v>#DIV/0!</v>
      </c>
      <c r="BA308" s="269" t="e">
        <f t="shared" si="265"/>
        <v>#DIV/0!</v>
      </c>
      <c r="BB308" s="292" t="e">
        <f t="shared" si="266"/>
        <v>#DIV/0!</v>
      </c>
      <c r="BC308" s="238" t="e">
        <f>IF(SUM($BC$13:BC307)&gt;0,0,IF(BB308&gt;0,B308,0))</f>
        <v>#DIV/0!</v>
      </c>
      <c r="BD308" s="292" t="e">
        <f>IF(BB308+SUM($BD$12:BD307)&gt;=0,0,-BB308-SUM($BD$12:BD307))</f>
        <v>#DIV/0!</v>
      </c>
      <c r="BE308" s="235" t="e">
        <f>BB308+SUM($BD$12:BD308)</f>
        <v>#DIV/0!</v>
      </c>
      <c r="BF308" s="292" t="e">
        <f>-MIN(BE308:$BE$501)-SUM(BF$12:$BF307)</f>
        <v>#DIV/0!</v>
      </c>
      <c r="BG308" s="235" t="e">
        <f t="shared" si="231"/>
        <v>#DIV/0!</v>
      </c>
    </row>
    <row r="309" spans="2:59">
      <c r="B309" s="120">
        <v>296</v>
      </c>
      <c r="C309" s="241">
        <f t="shared" si="230"/>
        <v>51687</v>
      </c>
      <c r="D309" s="229">
        <f t="shared" si="232"/>
        <v>7</v>
      </c>
      <c r="E309" s="230" t="str">
        <f t="shared" si="233"/>
        <v>-</v>
      </c>
      <c r="F309" s="231">
        <f t="shared" si="234"/>
        <v>0</v>
      </c>
      <c r="G309" s="231">
        <f t="shared" si="235"/>
        <v>0</v>
      </c>
      <c r="H309" s="231">
        <f t="shared" si="236"/>
        <v>0</v>
      </c>
      <c r="I309" s="268">
        <f t="shared" si="221"/>
        <v>0</v>
      </c>
      <c r="J309" s="269">
        <f t="shared" si="237"/>
        <v>0</v>
      </c>
      <c r="K309" s="269">
        <f t="shared" si="238"/>
        <v>0</v>
      </c>
      <c r="L309" s="269">
        <f t="shared" si="222"/>
        <v>0</v>
      </c>
      <c r="M309" s="269">
        <f t="shared" si="223"/>
        <v>0</v>
      </c>
      <c r="N309" s="233">
        <f>VLOOKUP(B309,Dados!$L$86:$P$90,5)</f>
        <v>0</v>
      </c>
      <c r="O309" s="270">
        <f t="shared" si="239"/>
        <v>0.99999999999999989</v>
      </c>
      <c r="P309" s="269">
        <f t="shared" si="240"/>
        <v>0</v>
      </c>
      <c r="Q309" s="269" t="e">
        <f t="shared" si="241"/>
        <v>#DIV/0!</v>
      </c>
      <c r="R309" s="269">
        <f t="shared" si="242"/>
        <v>0</v>
      </c>
      <c r="S309" s="269" t="e">
        <f t="shared" si="243"/>
        <v>#DIV/0!</v>
      </c>
      <c r="T309" s="269" t="e">
        <f t="shared" si="229"/>
        <v>#DIV/0!</v>
      </c>
      <c r="U309" s="234">
        <f t="shared" si="244"/>
        <v>0</v>
      </c>
      <c r="V309" s="232" t="e">
        <f t="shared" si="245"/>
        <v>#DIV/0!</v>
      </c>
      <c r="W309" s="269" t="e">
        <f t="shared" si="246"/>
        <v>#DIV/0!</v>
      </c>
      <c r="X309" s="235">
        <f t="shared" si="224"/>
        <v>0</v>
      </c>
      <c r="Y309" s="236">
        <f t="shared" si="247"/>
        <v>5</v>
      </c>
      <c r="Z309" s="236" t="e">
        <f t="shared" si="248"/>
        <v>#DIV/0!</v>
      </c>
      <c r="AA309" s="236">
        <f t="shared" si="249"/>
        <v>3</v>
      </c>
      <c r="AB309" s="236" t="e">
        <f t="shared" si="250"/>
        <v>#DIV/0!</v>
      </c>
      <c r="AC309" s="235">
        <f t="shared" si="251"/>
        <v>0</v>
      </c>
      <c r="AD309" s="235">
        <f t="shared" si="252"/>
        <v>0</v>
      </c>
      <c r="AE309" s="279">
        <f t="shared" si="253"/>
        <v>0</v>
      </c>
      <c r="AF309" s="232">
        <f t="shared" si="254"/>
        <v>0</v>
      </c>
      <c r="AG309" s="235">
        <f t="shared" si="255"/>
        <v>0</v>
      </c>
      <c r="AH309" s="269">
        <f t="shared" si="256"/>
        <v>0</v>
      </c>
      <c r="AI309" s="232">
        <f t="shared" si="257"/>
        <v>0</v>
      </c>
      <c r="AJ309" s="235">
        <f t="shared" si="258"/>
        <v>0</v>
      </c>
      <c r="AK309" s="269">
        <f t="shared" si="259"/>
        <v>0</v>
      </c>
      <c r="AL309" s="269">
        <f t="shared" si="225"/>
        <v>0</v>
      </c>
      <c r="AM309" s="281" t="e">
        <f>IF(B309&gt;=mpfo,pos*vvm*Dados!$E$122*(ntudv-SUM(U$301:$U310))-SUM($AM$13:AM308),0)</f>
        <v>#DIV/0!</v>
      </c>
      <c r="AN309" s="269" t="e">
        <f t="shared" si="260"/>
        <v>#DIV/0!</v>
      </c>
      <c r="AO309" s="232" t="e">
        <f t="shared" si="261"/>
        <v>#DIV/0!</v>
      </c>
      <c r="AP309" s="242" t="e">
        <f t="shared" si="262"/>
        <v>#DIV/0!</v>
      </c>
      <c r="AQ309" s="235" t="e">
        <f>IF(AP309+SUM($AQ$12:AQ308)&gt;=0,0,-AP309-SUM($AQ$12:AQ308))</f>
        <v>#DIV/0!</v>
      </c>
      <c r="AR309" s="235">
        <f>IF(SUM($N$13:N308)&gt;=pmo,IF(SUM(N308:$N$501)&gt;(1-pmo),B309,0),0)</f>
        <v>0</v>
      </c>
      <c r="AS309" s="235" t="e">
        <f>IF((SUM($U$13:$U308)/ntudv)&gt;=pmv,IF((SUM($U308:$U$501)/ntudv)&gt;(1-pmv),B309,0),0)</f>
        <v>#DIV/0!</v>
      </c>
      <c r="AT309" s="237" t="e">
        <f>IF(MAX(mmo,mmv)=mmo,IF(B309=AR309,(SUM(N$13:$N308)-pmo)/((1-VLOOKUP(MAX(mmo,mmv)-1,$B$13:$O$501,14))+(VLOOKUP(MAX(mmo,mmv)-1,$B$13:$O$501,14)-pmo)),N308/((1-VLOOKUP(MAX(mmo,mmv)-1,$B$13:$O$501,14)+(VLOOKUP(MAX(mmo,mmv)-1,$B$13:$O$501,14)-pmo)))),N308/(1-VLOOKUP(MAX(mmo,mmv)-2,$B$13:$O$501,14)))</f>
        <v>#DIV/0!</v>
      </c>
      <c r="AU309" s="101" t="e">
        <f t="shared" si="226"/>
        <v>#DIV/0!</v>
      </c>
      <c r="AV309" s="287" t="e">
        <f t="shared" si="227"/>
        <v>#DIV/0!</v>
      </c>
      <c r="AW309" s="235" t="e">
        <f t="shared" si="263"/>
        <v>#DIV/0!</v>
      </c>
      <c r="AX309" s="281">
        <f>IF(B309&gt;mpfo,0,IF(B309=mpfo,(vld-teo*(1+tcfo-incc)^(MAX(mmo,mmv)-mbfo))*-1,IF(SUM($N$13:N308)&gt;=pmo,IF(($V308/ntudv)&gt;=pmv,IF(B309=MAX(mmo,mmv),-teo*(1+tcfo-incc)^(B309-mbfo),0),0),0)))</f>
        <v>0</v>
      </c>
      <c r="AY309" s="292" t="e">
        <f t="shared" si="228"/>
        <v>#DIV/0!</v>
      </c>
      <c r="AZ309" s="235" t="e">
        <f t="shared" si="264"/>
        <v>#DIV/0!</v>
      </c>
      <c r="BA309" s="269" t="e">
        <f t="shared" si="265"/>
        <v>#DIV/0!</v>
      </c>
      <c r="BB309" s="292" t="e">
        <f t="shared" si="266"/>
        <v>#DIV/0!</v>
      </c>
      <c r="BC309" s="238" t="e">
        <f>IF(SUM($BC$13:BC308)&gt;0,0,IF(BB309&gt;0,B309,0))</f>
        <v>#DIV/0!</v>
      </c>
      <c r="BD309" s="292" t="e">
        <f>IF(BB309+SUM($BD$12:BD308)&gt;=0,0,-BB309-SUM($BD$12:BD308))</f>
        <v>#DIV/0!</v>
      </c>
      <c r="BE309" s="235" t="e">
        <f>BB309+SUM($BD$12:BD309)</f>
        <v>#DIV/0!</v>
      </c>
      <c r="BF309" s="292" t="e">
        <f>-MIN(BE309:$BE$501)-SUM(BF$12:$BF308)</f>
        <v>#DIV/0!</v>
      </c>
      <c r="BG309" s="235" t="e">
        <f t="shared" si="231"/>
        <v>#DIV/0!</v>
      </c>
    </row>
    <row r="310" spans="2:59">
      <c r="B310" s="246">
        <v>297</v>
      </c>
      <c r="C310" s="241">
        <f t="shared" si="230"/>
        <v>51718</v>
      </c>
      <c r="D310" s="229">
        <f t="shared" si="232"/>
        <v>8</v>
      </c>
      <c r="E310" s="230" t="str">
        <f t="shared" si="233"/>
        <v>-</v>
      </c>
      <c r="F310" s="231">
        <f t="shared" si="234"/>
        <v>0</v>
      </c>
      <c r="G310" s="231">
        <f t="shared" si="235"/>
        <v>0</v>
      </c>
      <c r="H310" s="231">
        <f t="shared" si="236"/>
        <v>0</v>
      </c>
      <c r="I310" s="268">
        <f t="shared" si="221"/>
        <v>0</v>
      </c>
      <c r="J310" s="269">
        <f t="shared" si="237"/>
        <v>0</v>
      </c>
      <c r="K310" s="269">
        <f t="shared" si="238"/>
        <v>0</v>
      </c>
      <c r="L310" s="269">
        <f t="shared" si="222"/>
        <v>0</v>
      </c>
      <c r="M310" s="269">
        <f t="shared" si="223"/>
        <v>0</v>
      </c>
      <c r="N310" s="233">
        <f>VLOOKUP(B310,Dados!$L$86:$P$90,5)</f>
        <v>0</v>
      </c>
      <c r="O310" s="270">
        <f t="shared" si="239"/>
        <v>0.99999999999999989</v>
      </c>
      <c r="P310" s="269">
        <f t="shared" si="240"/>
        <v>0</v>
      </c>
      <c r="Q310" s="269" t="e">
        <f t="shared" si="241"/>
        <v>#DIV/0!</v>
      </c>
      <c r="R310" s="269">
        <f t="shared" si="242"/>
        <v>0</v>
      </c>
      <c r="S310" s="269" t="e">
        <f t="shared" si="243"/>
        <v>#DIV/0!</v>
      </c>
      <c r="T310" s="269" t="e">
        <f t="shared" si="229"/>
        <v>#DIV/0!</v>
      </c>
      <c r="U310" s="234">
        <f t="shared" si="244"/>
        <v>0</v>
      </c>
      <c r="V310" s="232" t="e">
        <f t="shared" si="245"/>
        <v>#DIV/0!</v>
      </c>
      <c r="W310" s="269" t="e">
        <f t="shared" si="246"/>
        <v>#DIV/0!</v>
      </c>
      <c r="X310" s="235">
        <f t="shared" si="224"/>
        <v>0</v>
      </c>
      <c r="Y310" s="236">
        <f t="shared" si="247"/>
        <v>5</v>
      </c>
      <c r="Z310" s="236" t="e">
        <f t="shared" si="248"/>
        <v>#DIV/0!</v>
      </c>
      <c r="AA310" s="236">
        <f t="shared" si="249"/>
        <v>3</v>
      </c>
      <c r="AB310" s="236" t="e">
        <f t="shared" si="250"/>
        <v>#DIV/0!</v>
      </c>
      <c r="AC310" s="235">
        <f t="shared" si="251"/>
        <v>0</v>
      </c>
      <c r="AD310" s="235">
        <f t="shared" si="252"/>
        <v>0</v>
      </c>
      <c r="AE310" s="279">
        <f t="shared" si="253"/>
        <v>0</v>
      </c>
      <c r="AF310" s="232">
        <f t="shared" si="254"/>
        <v>0</v>
      </c>
      <c r="AG310" s="235">
        <f t="shared" si="255"/>
        <v>0</v>
      </c>
      <c r="AH310" s="269">
        <f t="shared" si="256"/>
        <v>0</v>
      </c>
      <c r="AI310" s="232">
        <f t="shared" si="257"/>
        <v>0</v>
      </c>
      <c r="AJ310" s="235">
        <f t="shared" si="258"/>
        <v>0</v>
      </c>
      <c r="AK310" s="269">
        <f t="shared" si="259"/>
        <v>0</v>
      </c>
      <c r="AL310" s="269">
        <f t="shared" si="225"/>
        <v>0</v>
      </c>
      <c r="AM310" s="281" t="e">
        <f>IF(B310&gt;=mpfo,pos*vvm*Dados!$E$122*(ntudv-SUM(U$301:$U311))-SUM($AM$13:AM309),0)</f>
        <v>#DIV/0!</v>
      </c>
      <c r="AN310" s="269" t="e">
        <f t="shared" si="260"/>
        <v>#DIV/0!</v>
      </c>
      <c r="AO310" s="232" t="e">
        <f t="shared" si="261"/>
        <v>#DIV/0!</v>
      </c>
      <c r="AP310" s="242" t="e">
        <f t="shared" si="262"/>
        <v>#DIV/0!</v>
      </c>
      <c r="AQ310" s="235" t="e">
        <f>IF(AP310+SUM($AQ$12:AQ309)&gt;=0,0,-AP310-SUM($AQ$12:AQ309))</f>
        <v>#DIV/0!</v>
      </c>
      <c r="AR310" s="235">
        <f>IF(SUM($N$13:N309)&gt;=pmo,IF(SUM(N309:$N$501)&gt;(1-pmo),B310,0),0)</f>
        <v>0</v>
      </c>
      <c r="AS310" s="235" t="e">
        <f>IF((SUM($U$13:$U309)/ntudv)&gt;=pmv,IF((SUM($U309:$U$501)/ntudv)&gt;(1-pmv),B310,0),0)</f>
        <v>#DIV/0!</v>
      </c>
      <c r="AT310" s="237" t="e">
        <f>IF(MAX(mmo,mmv)=mmo,IF(B310=AR310,(SUM(N$13:$N309)-pmo)/((1-VLOOKUP(MAX(mmo,mmv)-1,$B$13:$O$501,14))+(VLOOKUP(MAX(mmo,mmv)-1,$B$13:$O$501,14)-pmo)),N309/((1-VLOOKUP(MAX(mmo,mmv)-1,$B$13:$O$501,14)+(VLOOKUP(MAX(mmo,mmv)-1,$B$13:$O$501,14)-pmo)))),N309/(1-VLOOKUP(MAX(mmo,mmv)-2,$B$13:$O$501,14)))</f>
        <v>#DIV/0!</v>
      </c>
      <c r="AU310" s="101" t="e">
        <f t="shared" si="226"/>
        <v>#DIV/0!</v>
      </c>
      <c r="AV310" s="287" t="e">
        <f t="shared" si="227"/>
        <v>#DIV/0!</v>
      </c>
      <c r="AW310" s="235" t="e">
        <f t="shared" si="263"/>
        <v>#DIV/0!</v>
      </c>
      <c r="AX310" s="281">
        <f>IF(B310&gt;mpfo,0,IF(B310=mpfo,(vld-teo*(1+tcfo-incc)^(MAX(mmo,mmv)-mbfo))*-1,IF(SUM($N$13:N309)&gt;=pmo,IF(($V309/ntudv)&gt;=pmv,IF(B310=MAX(mmo,mmv),-teo*(1+tcfo-incc)^(B310-mbfo),0),0),0)))</f>
        <v>0</v>
      </c>
      <c r="AY310" s="292" t="e">
        <f t="shared" si="228"/>
        <v>#DIV/0!</v>
      </c>
      <c r="AZ310" s="235" t="e">
        <f t="shared" si="264"/>
        <v>#DIV/0!</v>
      </c>
      <c r="BA310" s="269" t="e">
        <f t="shared" si="265"/>
        <v>#DIV/0!</v>
      </c>
      <c r="BB310" s="292" t="e">
        <f t="shared" si="266"/>
        <v>#DIV/0!</v>
      </c>
      <c r="BC310" s="238" t="e">
        <f>IF(SUM($BC$13:BC309)&gt;0,0,IF(BB310&gt;0,B310,0))</f>
        <v>#DIV/0!</v>
      </c>
      <c r="BD310" s="292" t="e">
        <f>IF(BB310+SUM($BD$12:BD309)&gt;=0,0,-BB310-SUM($BD$12:BD309))</f>
        <v>#DIV/0!</v>
      </c>
      <c r="BE310" s="235" t="e">
        <f>BB310+SUM($BD$12:BD310)</f>
        <v>#DIV/0!</v>
      </c>
      <c r="BF310" s="292" t="e">
        <f>-MIN(BE310:$BE$501)-SUM(BF$12:$BF309)</f>
        <v>#DIV/0!</v>
      </c>
      <c r="BG310" s="235" t="e">
        <f t="shared" si="231"/>
        <v>#DIV/0!</v>
      </c>
    </row>
    <row r="311" spans="2:59">
      <c r="B311" s="120">
        <v>298</v>
      </c>
      <c r="C311" s="241">
        <f t="shared" si="230"/>
        <v>51749</v>
      </c>
      <c r="D311" s="229">
        <f t="shared" si="232"/>
        <v>9</v>
      </c>
      <c r="E311" s="230" t="str">
        <f t="shared" si="233"/>
        <v>-</v>
      </c>
      <c r="F311" s="231">
        <f t="shared" si="234"/>
        <v>0</v>
      </c>
      <c r="G311" s="231">
        <f t="shared" si="235"/>
        <v>0</v>
      </c>
      <c r="H311" s="231">
        <f t="shared" si="236"/>
        <v>0</v>
      </c>
      <c r="I311" s="268">
        <f t="shared" si="221"/>
        <v>0</v>
      </c>
      <c r="J311" s="269">
        <f t="shared" si="237"/>
        <v>0</v>
      </c>
      <c r="K311" s="269">
        <f t="shared" si="238"/>
        <v>0</v>
      </c>
      <c r="L311" s="269">
        <f t="shared" si="222"/>
        <v>0</v>
      </c>
      <c r="M311" s="269">
        <f t="shared" si="223"/>
        <v>0</v>
      </c>
      <c r="N311" s="233">
        <f>VLOOKUP(B311,Dados!$L$86:$P$90,5)</f>
        <v>0</v>
      </c>
      <c r="O311" s="270">
        <f t="shared" si="239"/>
        <v>0.99999999999999989</v>
      </c>
      <c r="P311" s="269">
        <f t="shared" si="240"/>
        <v>0</v>
      </c>
      <c r="Q311" s="269" t="e">
        <f t="shared" si="241"/>
        <v>#DIV/0!</v>
      </c>
      <c r="R311" s="269">
        <f t="shared" si="242"/>
        <v>0</v>
      </c>
      <c r="S311" s="269" t="e">
        <f t="shared" si="243"/>
        <v>#DIV/0!</v>
      </c>
      <c r="T311" s="269" t="e">
        <f t="shared" si="229"/>
        <v>#DIV/0!</v>
      </c>
      <c r="U311" s="234">
        <f t="shared" si="244"/>
        <v>0</v>
      </c>
      <c r="V311" s="232" t="e">
        <f t="shared" si="245"/>
        <v>#DIV/0!</v>
      </c>
      <c r="W311" s="269" t="e">
        <f t="shared" si="246"/>
        <v>#DIV/0!</v>
      </c>
      <c r="X311" s="235">
        <f t="shared" si="224"/>
        <v>0</v>
      </c>
      <c r="Y311" s="236">
        <f t="shared" si="247"/>
        <v>5</v>
      </c>
      <c r="Z311" s="236" t="e">
        <f t="shared" si="248"/>
        <v>#DIV/0!</v>
      </c>
      <c r="AA311" s="236">
        <f t="shared" si="249"/>
        <v>3</v>
      </c>
      <c r="AB311" s="236" t="e">
        <f t="shared" si="250"/>
        <v>#DIV/0!</v>
      </c>
      <c r="AC311" s="235">
        <f t="shared" si="251"/>
        <v>0</v>
      </c>
      <c r="AD311" s="235">
        <f t="shared" si="252"/>
        <v>0</v>
      </c>
      <c r="AE311" s="279">
        <f t="shared" si="253"/>
        <v>0</v>
      </c>
      <c r="AF311" s="232">
        <f t="shared" si="254"/>
        <v>0</v>
      </c>
      <c r="AG311" s="235">
        <f t="shared" si="255"/>
        <v>0</v>
      </c>
      <c r="AH311" s="269">
        <f t="shared" si="256"/>
        <v>0</v>
      </c>
      <c r="AI311" s="232">
        <f t="shared" si="257"/>
        <v>0</v>
      </c>
      <c r="AJ311" s="235">
        <f t="shared" si="258"/>
        <v>0</v>
      </c>
      <c r="AK311" s="269">
        <f t="shared" si="259"/>
        <v>0</v>
      </c>
      <c r="AL311" s="269">
        <f t="shared" si="225"/>
        <v>0</v>
      </c>
      <c r="AM311" s="281" t="e">
        <f>IF(B311&gt;=mpfo,pos*vvm*Dados!$E$122*(ntudv-SUM(U$301:$U312))-SUM($AM$13:AM310),0)</f>
        <v>#DIV/0!</v>
      </c>
      <c r="AN311" s="269" t="e">
        <f t="shared" si="260"/>
        <v>#DIV/0!</v>
      </c>
      <c r="AO311" s="232" t="e">
        <f t="shared" si="261"/>
        <v>#DIV/0!</v>
      </c>
      <c r="AP311" s="242" t="e">
        <f t="shared" si="262"/>
        <v>#DIV/0!</v>
      </c>
      <c r="AQ311" s="235" t="e">
        <f>IF(AP311+SUM($AQ$12:AQ310)&gt;=0,0,-AP311-SUM($AQ$12:AQ310))</f>
        <v>#DIV/0!</v>
      </c>
      <c r="AR311" s="235">
        <f>IF(SUM($N$13:N310)&gt;=pmo,IF(SUM(N310:$N$501)&gt;(1-pmo),B311,0),0)</f>
        <v>0</v>
      </c>
      <c r="AS311" s="235" t="e">
        <f>IF((SUM($U$13:$U310)/ntudv)&gt;=pmv,IF((SUM($U310:$U$501)/ntudv)&gt;(1-pmv),B311,0),0)</f>
        <v>#DIV/0!</v>
      </c>
      <c r="AT311" s="237" t="e">
        <f>IF(MAX(mmo,mmv)=mmo,IF(B311=AR311,(SUM(N$13:$N310)-pmo)/((1-VLOOKUP(MAX(mmo,mmv)-1,$B$13:$O$501,14))+(VLOOKUP(MAX(mmo,mmv)-1,$B$13:$O$501,14)-pmo)),N310/((1-VLOOKUP(MAX(mmo,mmv)-1,$B$13:$O$501,14)+(VLOOKUP(MAX(mmo,mmv)-1,$B$13:$O$501,14)-pmo)))),N310/(1-VLOOKUP(MAX(mmo,mmv)-2,$B$13:$O$501,14)))</f>
        <v>#DIV/0!</v>
      </c>
      <c r="AU311" s="101" t="e">
        <f t="shared" si="226"/>
        <v>#DIV/0!</v>
      </c>
      <c r="AV311" s="287" t="e">
        <f t="shared" si="227"/>
        <v>#DIV/0!</v>
      </c>
      <c r="AW311" s="235" t="e">
        <f t="shared" si="263"/>
        <v>#DIV/0!</v>
      </c>
      <c r="AX311" s="281">
        <f>IF(B311&gt;mpfo,0,IF(B311=mpfo,(vld-teo*(1+tcfo-incc)^(MAX(mmo,mmv)-mbfo))*-1,IF(SUM($N$13:N310)&gt;=pmo,IF(($V310/ntudv)&gt;=pmv,IF(B311=MAX(mmo,mmv),-teo*(1+tcfo-incc)^(B311-mbfo),0),0),0)))</f>
        <v>0</v>
      </c>
      <c r="AY311" s="292" t="e">
        <f t="shared" si="228"/>
        <v>#DIV/0!</v>
      </c>
      <c r="AZ311" s="235" t="e">
        <f t="shared" si="264"/>
        <v>#DIV/0!</v>
      </c>
      <c r="BA311" s="269" t="e">
        <f t="shared" si="265"/>
        <v>#DIV/0!</v>
      </c>
      <c r="BB311" s="292" t="e">
        <f t="shared" si="266"/>
        <v>#DIV/0!</v>
      </c>
      <c r="BC311" s="238" t="e">
        <f>IF(SUM($BC$13:BC310)&gt;0,0,IF(BB311&gt;0,B311,0))</f>
        <v>#DIV/0!</v>
      </c>
      <c r="BD311" s="292" t="e">
        <f>IF(BB311+SUM($BD$12:BD310)&gt;=0,0,-BB311-SUM($BD$12:BD310))</f>
        <v>#DIV/0!</v>
      </c>
      <c r="BE311" s="235" t="e">
        <f>BB311+SUM($BD$12:BD311)</f>
        <v>#DIV/0!</v>
      </c>
      <c r="BF311" s="292" t="e">
        <f>-MIN(BE311:$BE$501)-SUM(BF$12:$BF310)</f>
        <v>#DIV/0!</v>
      </c>
      <c r="BG311" s="235" t="e">
        <f t="shared" si="231"/>
        <v>#DIV/0!</v>
      </c>
    </row>
    <row r="312" spans="2:59">
      <c r="B312" s="246">
        <v>299</v>
      </c>
      <c r="C312" s="241">
        <f t="shared" si="230"/>
        <v>51779</v>
      </c>
      <c r="D312" s="229">
        <f t="shared" si="232"/>
        <v>10</v>
      </c>
      <c r="E312" s="230" t="str">
        <f t="shared" si="233"/>
        <v>-</v>
      </c>
      <c r="F312" s="231">
        <f t="shared" si="234"/>
        <v>0</v>
      </c>
      <c r="G312" s="231">
        <f t="shared" si="235"/>
        <v>0</v>
      </c>
      <c r="H312" s="231">
        <f t="shared" si="236"/>
        <v>0</v>
      </c>
      <c r="I312" s="268">
        <f t="shared" si="221"/>
        <v>0</v>
      </c>
      <c r="J312" s="269">
        <f t="shared" si="237"/>
        <v>0</v>
      </c>
      <c r="K312" s="269">
        <f t="shared" si="238"/>
        <v>0</v>
      </c>
      <c r="L312" s="269">
        <f t="shared" si="222"/>
        <v>0</v>
      </c>
      <c r="M312" s="269">
        <f t="shared" si="223"/>
        <v>0</v>
      </c>
      <c r="N312" s="233">
        <f>VLOOKUP(B312,Dados!$L$86:$P$90,5)</f>
        <v>0</v>
      </c>
      <c r="O312" s="270">
        <f t="shared" si="239"/>
        <v>0.99999999999999989</v>
      </c>
      <c r="P312" s="269">
        <f t="shared" si="240"/>
        <v>0</v>
      </c>
      <c r="Q312" s="269" t="e">
        <f t="shared" si="241"/>
        <v>#DIV/0!</v>
      </c>
      <c r="R312" s="269">
        <f t="shared" si="242"/>
        <v>0</v>
      </c>
      <c r="S312" s="269" t="e">
        <f t="shared" si="243"/>
        <v>#DIV/0!</v>
      </c>
      <c r="T312" s="269" t="e">
        <f t="shared" si="229"/>
        <v>#DIV/0!</v>
      </c>
      <c r="U312" s="234">
        <f t="shared" si="244"/>
        <v>0</v>
      </c>
      <c r="V312" s="232" t="e">
        <f t="shared" si="245"/>
        <v>#DIV/0!</v>
      </c>
      <c r="W312" s="269" t="e">
        <f t="shared" si="246"/>
        <v>#DIV/0!</v>
      </c>
      <c r="X312" s="235">
        <f t="shared" si="224"/>
        <v>0</v>
      </c>
      <c r="Y312" s="236">
        <f t="shared" si="247"/>
        <v>5</v>
      </c>
      <c r="Z312" s="236" t="e">
        <f t="shared" si="248"/>
        <v>#DIV/0!</v>
      </c>
      <c r="AA312" s="236">
        <f t="shared" si="249"/>
        <v>3</v>
      </c>
      <c r="AB312" s="236" t="e">
        <f t="shared" si="250"/>
        <v>#DIV/0!</v>
      </c>
      <c r="AC312" s="235">
        <f t="shared" si="251"/>
        <v>0</v>
      </c>
      <c r="AD312" s="235">
        <f t="shared" si="252"/>
        <v>0</v>
      </c>
      <c r="AE312" s="279">
        <f t="shared" si="253"/>
        <v>0</v>
      </c>
      <c r="AF312" s="232">
        <f t="shared" si="254"/>
        <v>0</v>
      </c>
      <c r="AG312" s="235">
        <f t="shared" si="255"/>
        <v>0</v>
      </c>
      <c r="AH312" s="269">
        <f t="shared" si="256"/>
        <v>0</v>
      </c>
      <c r="AI312" s="232">
        <f t="shared" si="257"/>
        <v>0</v>
      </c>
      <c r="AJ312" s="235">
        <f t="shared" si="258"/>
        <v>0</v>
      </c>
      <c r="AK312" s="269">
        <f t="shared" si="259"/>
        <v>0</v>
      </c>
      <c r="AL312" s="269">
        <f t="shared" si="225"/>
        <v>0</v>
      </c>
      <c r="AM312" s="281" t="e">
        <f>IF(B312&gt;=mpfo,pos*vvm*Dados!$E$122*(ntudv-SUM(U$301:$U313))-SUM($AM$13:AM311),0)</f>
        <v>#DIV/0!</v>
      </c>
      <c r="AN312" s="269" t="e">
        <f t="shared" si="260"/>
        <v>#DIV/0!</v>
      </c>
      <c r="AO312" s="232" t="e">
        <f t="shared" si="261"/>
        <v>#DIV/0!</v>
      </c>
      <c r="AP312" s="242" t="e">
        <f t="shared" si="262"/>
        <v>#DIV/0!</v>
      </c>
      <c r="AQ312" s="235" t="e">
        <f>IF(AP312+SUM($AQ$12:AQ311)&gt;=0,0,-AP312-SUM($AQ$12:AQ311))</f>
        <v>#DIV/0!</v>
      </c>
      <c r="AR312" s="235">
        <f>IF(SUM($N$13:N311)&gt;=pmo,IF(SUM(N311:$N$501)&gt;(1-pmo),B312,0),0)</f>
        <v>0</v>
      </c>
      <c r="AS312" s="235" t="e">
        <f>IF((SUM($U$13:$U311)/ntudv)&gt;=pmv,IF((SUM($U311:$U$501)/ntudv)&gt;(1-pmv),B312,0),0)</f>
        <v>#DIV/0!</v>
      </c>
      <c r="AT312" s="237" t="e">
        <f>IF(MAX(mmo,mmv)=mmo,IF(B312=AR312,(SUM(N$13:$N311)-pmo)/((1-VLOOKUP(MAX(mmo,mmv)-1,$B$13:$O$501,14))+(VLOOKUP(MAX(mmo,mmv)-1,$B$13:$O$501,14)-pmo)),N311/((1-VLOOKUP(MAX(mmo,mmv)-1,$B$13:$O$501,14)+(VLOOKUP(MAX(mmo,mmv)-1,$B$13:$O$501,14)-pmo)))),N311/(1-VLOOKUP(MAX(mmo,mmv)-2,$B$13:$O$501,14)))</f>
        <v>#DIV/0!</v>
      </c>
      <c r="AU312" s="101" t="e">
        <f t="shared" si="226"/>
        <v>#DIV/0!</v>
      </c>
      <c r="AV312" s="287" t="e">
        <f t="shared" si="227"/>
        <v>#DIV/0!</v>
      </c>
      <c r="AW312" s="235" t="e">
        <f t="shared" si="263"/>
        <v>#DIV/0!</v>
      </c>
      <c r="AX312" s="281">
        <f>IF(B312&gt;mpfo,0,IF(B312=mpfo,(vld-teo*(1+tcfo-incc)^(MAX(mmo,mmv)-mbfo))*-1,IF(SUM($N$13:N311)&gt;=pmo,IF(($V311/ntudv)&gt;=pmv,IF(B312=MAX(mmo,mmv),-teo*(1+tcfo-incc)^(B312-mbfo),0),0),0)))</f>
        <v>0</v>
      </c>
      <c r="AY312" s="292" t="e">
        <f t="shared" si="228"/>
        <v>#DIV/0!</v>
      </c>
      <c r="AZ312" s="235" t="e">
        <f t="shared" si="264"/>
        <v>#DIV/0!</v>
      </c>
      <c r="BA312" s="269" t="e">
        <f t="shared" si="265"/>
        <v>#DIV/0!</v>
      </c>
      <c r="BB312" s="292" t="e">
        <f t="shared" si="266"/>
        <v>#DIV/0!</v>
      </c>
      <c r="BC312" s="238" t="e">
        <f>IF(SUM($BC$13:BC311)&gt;0,0,IF(BB312&gt;0,B312,0))</f>
        <v>#DIV/0!</v>
      </c>
      <c r="BD312" s="292" t="e">
        <f>IF(BB312+SUM($BD$12:BD311)&gt;=0,0,-BB312-SUM($BD$12:BD311))</f>
        <v>#DIV/0!</v>
      </c>
      <c r="BE312" s="235" t="e">
        <f>BB312+SUM($BD$12:BD312)</f>
        <v>#DIV/0!</v>
      </c>
      <c r="BF312" s="292" t="e">
        <f>-MIN(BE312:$BE$501)-SUM(BF$12:$BF311)</f>
        <v>#DIV/0!</v>
      </c>
      <c r="BG312" s="235" t="e">
        <f t="shared" si="231"/>
        <v>#DIV/0!</v>
      </c>
    </row>
    <row r="313" spans="2:59">
      <c r="B313" s="120">
        <v>300</v>
      </c>
      <c r="C313" s="241">
        <f t="shared" si="230"/>
        <v>51810</v>
      </c>
      <c r="D313" s="229">
        <f t="shared" si="232"/>
        <v>11</v>
      </c>
      <c r="E313" s="230" t="str">
        <f t="shared" si="233"/>
        <v>-</v>
      </c>
      <c r="F313" s="231">
        <f t="shared" si="234"/>
        <v>0</v>
      </c>
      <c r="G313" s="231">
        <f t="shared" si="235"/>
        <v>0</v>
      </c>
      <c r="H313" s="231">
        <f t="shared" si="236"/>
        <v>0</v>
      </c>
      <c r="I313" s="268">
        <f t="shared" si="221"/>
        <v>0</v>
      </c>
      <c r="J313" s="269">
        <f t="shared" si="237"/>
        <v>0</v>
      </c>
      <c r="K313" s="269">
        <f t="shared" si="238"/>
        <v>0</v>
      </c>
      <c r="L313" s="269">
        <f t="shared" si="222"/>
        <v>0</v>
      </c>
      <c r="M313" s="269">
        <f t="shared" si="223"/>
        <v>0</v>
      </c>
      <c r="N313" s="233">
        <f>VLOOKUP(B313,Dados!$L$86:$P$90,5)</f>
        <v>0</v>
      </c>
      <c r="O313" s="270">
        <f t="shared" si="239"/>
        <v>0.99999999999999989</v>
      </c>
      <c r="P313" s="269">
        <f t="shared" si="240"/>
        <v>0</v>
      </c>
      <c r="Q313" s="269" t="e">
        <f t="shared" si="241"/>
        <v>#DIV/0!</v>
      </c>
      <c r="R313" s="269">
        <f t="shared" si="242"/>
        <v>0</v>
      </c>
      <c r="S313" s="269" t="e">
        <f t="shared" si="243"/>
        <v>#DIV/0!</v>
      </c>
      <c r="T313" s="269" t="e">
        <f t="shared" si="229"/>
        <v>#DIV/0!</v>
      </c>
      <c r="U313" s="234">
        <f t="shared" si="244"/>
        <v>0</v>
      </c>
      <c r="V313" s="232" t="e">
        <f t="shared" si="245"/>
        <v>#DIV/0!</v>
      </c>
      <c r="W313" s="269" t="e">
        <f t="shared" si="246"/>
        <v>#DIV/0!</v>
      </c>
      <c r="X313" s="235">
        <f t="shared" si="224"/>
        <v>0</v>
      </c>
      <c r="Y313" s="236">
        <f t="shared" si="247"/>
        <v>5</v>
      </c>
      <c r="Z313" s="236" t="e">
        <f t="shared" si="248"/>
        <v>#DIV/0!</v>
      </c>
      <c r="AA313" s="236">
        <f t="shared" si="249"/>
        <v>3</v>
      </c>
      <c r="AB313" s="236" t="e">
        <f t="shared" si="250"/>
        <v>#DIV/0!</v>
      </c>
      <c r="AC313" s="235">
        <f t="shared" si="251"/>
        <v>0</v>
      </c>
      <c r="AD313" s="235">
        <f t="shared" si="252"/>
        <v>0</v>
      </c>
      <c r="AE313" s="279">
        <f t="shared" si="253"/>
        <v>0</v>
      </c>
      <c r="AF313" s="232">
        <f t="shared" si="254"/>
        <v>0</v>
      </c>
      <c r="AG313" s="235">
        <f t="shared" si="255"/>
        <v>0</v>
      </c>
      <c r="AH313" s="269">
        <f t="shared" si="256"/>
        <v>0</v>
      </c>
      <c r="AI313" s="232">
        <f t="shared" si="257"/>
        <v>0</v>
      </c>
      <c r="AJ313" s="235">
        <f t="shared" si="258"/>
        <v>0</v>
      </c>
      <c r="AK313" s="269">
        <f t="shared" si="259"/>
        <v>0</v>
      </c>
      <c r="AL313" s="269">
        <f t="shared" si="225"/>
        <v>0</v>
      </c>
      <c r="AM313" s="281" t="e">
        <f>IF(B313&gt;=mpfo,pos*vvm*Dados!$E$122*(ntudv-SUM(U$301:$U314))-SUM($AM$13:AM312),0)</f>
        <v>#DIV/0!</v>
      </c>
      <c r="AN313" s="269" t="e">
        <f t="shared" si="260"/>
        <v>#DIV/0!</v>
      </c>
      <c r="AO313" s="232" t="e">
        <f t="shared" si="261"/>
        <v>#DIV/0!</v>
      </c>
      <c r="AP313" s="242" t="e">
        <f t="shared" si="262"/>
        <v>#DIV/0!</v>
      </c>
      <c r="AQ313" s="235" t="e">
        <f>IF(AP313+SUM($AQ$12:AQ312)&gt;=0,0,-AP313-SUM($AQ$12:AQ312))</f>
        <v>#DIV/0!</v>
      </c>
      <c r="AR313" s="235">
        <f>IF(SUM($N$13:N312)&gt;=pmo,IF(SUM(N312:$N$501)&gt;(1-pmo),B313,0),0)</f>
        <v>0</v>
      </c>
      <c r="AS313" s="235" t="e">
        <f>IF((SUM($U$13:$U312)/ntudv)&gt;=pmv,IF((SUM($U312:$U$501)/ntudv)&gt;(1-pmv),B313,0),0)</f>
        <v>#DIV/0!</v>
      </c>
      <c r="AT313" s="237" t="e">
        <f>IF(MAX(mmo,mmv)=mmo,IF(B313=AR313,(SUM(N$13:$N312)-pmo)/((1-VLOOKUP(MAX(mmo,mmv)-1,$B$13:$O$501,14))+(VLOOKUP(MAX(mmo,mmv)-1,$B$13:$O$501,14)-pmo)),N312/((1-VLOOKUP(MAX(mmo,mmv)-1,$B$13:$O$501,14)+(VLOOKUP(MAX(mmo,mmv)-1,$B$13:$O$501,14)-pmo)))),N312/(1-VLOOKUP(MAX(mmo,mmv)-2,$B$13:$O$501,14)))</f>
        <v>#DIV/0!</v>
      </c>
      <c r="AU313" s="101" t="e">
        <f t="shared" si="226"/>
        <v>#DIV/0!</v>
      </c>
      <c r="AV313" s="287" t="e">
        <f t="shared" si="227"/>
        <v>#DIV/0!</v>
      </c>
      <c r="AW313" s="235" t="e">
        <f t="shared" si="263"/>
        <v>#DIV/0!</v>
      </c>
      <c r="AX313" s="281">
        <f>IF(B313&gt;mpfo,0,IF(B313=mpfo,(vld-teo*(1+tcfo-incc)^(MAX(mmo,mmv)-mbfo))*-1,IF(SUM($N$13:N312)&gt;=pmo,IF(($V312/ntudv)&gt;=pmv,IF(B313=MAX(mmo,mmv),-teo*(1+tcfo-incc)^(B313-mbfo),0),0),0)))</f>
        <v>0</v>
      </c>
      <c r="AY313" s="292" t="e">
        <f t="shared" si="228"/>
        <v>#DIV/0!</v>
      </c>
      <c r="AZ313" s="235" t="e">
        <f t="shared" si="264"/>
        <v>#DIV/0!</v>
      </c>
      <c r="BA313" s="269" t="e">
        <f t="shared" si="265"/>
        <v>#DIV/0!</v>
      </c>
      <c r="BB313" s="292" t="e">
        <f t="shared" si="266"/>
        <v>#DIV/0!</v>
      </c>
      <c r="BC313" s="238" t="e">
        <f>IF(SUM($BC$13:BC312)&gt;0,0,IF(BB313&gt;0,B313,0))</f>
        <v>#DIV/0!</v>
      </c>
      <c r="BD313" s="292" t="e">
        <f>IF(BB313+SUM($BD$12:BD312)&gt;=0,0,-BB313-SUM($BD$12:BD312))</f>
        <v>#DIV/0!</v>
      </c>
      <c r="BE313" s="235" t="e">
        <f>BB313+SUM($BD$12:BD313)</f>
        <v>#DIV/0!</v>
      </c>
      <c r="BF313" s="292" t="e">
        <f>-MIN(BE313:$BE$501)-SUM(BF$12:$BF312)</f>
        <v>#DIV/0!</v>
      </c>
      <c r="BG313" s="235" t="e">
        <f t="shared" si="231"/>
        <v>#DIV/0!</v>
      </c>
    </row>
    <row r="314" spans="2:59">
      <c r="B314" s="246">
        <v>301</v>
      </c>
      <c r="C314" s="241">
        <f t="shared" si="230"/>
        <v>51840</v>
      </c>
      <c r="D314" s="229">
        <f t="shared" si="232"/>
        <v>12</v>
      </c>
      <c r="E314" s="230" t="str">
        <f t="shared" si="233"/>
        <v>-</v>
      </c>
      <c r="F314" s="231">
        <f t="shared" si="234"/>
        <v>0</v>
      </c>
      <c r="G314" s="231">
        <f t="shared" si="235"/>
        <v>0</v>
      </c>
      <c r="H314" s="231">
        <f t="shared" si="236"/>
        <v>0</v>
      </c>
      <c r="I314" s="268">
        <f t="shared" si="221"/>
        <v>0</v>
      </c>
      <c r="J314" s="269">
        <f t="shared" si="237"/>
        <v>0</v>
      </c>
      <c r="K314" s="269">
        <f t="shared" si="238"/>
        <v>0</v>
      </c>
      <c r="L314" s="269">
        <f t="shared" si="222"/>
        <v>0</v>
      </c>
      <c r="M314" s="269">
        <f t="shared" si="223"/>
        <v>0</v>
      </c>
      <c r="N314" s="233">
        <f>VLOOKUP(B314,Dados!$L$86:$P$90,5)</f>
        <v>0</v>
      </c>
      <c r="O314" s="270">
        <f t="shared" si="239"/>
        <v>0.99999999999999989</v>
      </c>
      <c r="P314" s="269">
        <f t="shared" si="240"/>
        <v>0</v>
      </c>
      <c r="Q314" s="269" t="e">
        <f t="shared" si="241"/>
        <v>#DIV/0!</v>
      </c>
      <c r="R314" s="269">
        <f t="shared" si="242"/>
        <v>0</v>
      </c>
      <c r="S314" s="269" t="e">
        <f t="shared" si="243"/>
        <v>#DIV/0!</v>
      </c>
      <c r="T314" s="269" t="e">
        <f t="shared" si="229"/>
        <v>#DIV/0!</v>
      </c>
      <c r="U314" s="234">
        <f t="shared" si="244"/>
        <v>0</v>
      </c>
      <c r="V314" s="232" t="e">
        <f t="shared" si="245"/>
        <v>#DIV/0!</v>
      </c>
      <c r="W314" s="269" t="e">
        <f t="shared" si="246"/>
        <v>#DIV/0!</v>
      </c>
      <c r="X314" s="235">
        <f t="shared" si="224"/>
        <v>0</v>
      </c>
      <c r="Y314" s="236">
        <f t="shared" si="247"/>
        <v>5</v>
      </c>
      <c r="Z314" s="236" t="e">
        <f t="shared" si="248"/>
        <v>#DIV/0!</v>
      </c>
      <c r="AA314" s="236">
        <f t="shared" si="249"/>
        <v>3</v>
      </c>
      <c r="AB314" s="236" t="e">
        <f t="shared" si="250"/>
        <v>#DIV/0!</v>
      </c>
      <c r="AC314" s="235">
        <f t="shared" si="251"/>
        <v>0</v>
      </c>
      <c r="AD314" s="235">
        <f t="shared" si="252"/>
        <v>0</v>
      </c>
      <c r="AE314" s="279">
        <f t="shared" si="253"/>
        <v>0</v>
      </c>
      <c r="AF314" s="232">
        <f t="shared" si="254"/>
        <v>1</v>
      </c>
      <c r="AG314" s="235">
        <f t="shared" si="255"/>
        <v>0</v>
      </c>
      <c r="AH314" s="269">
        <f t="shared" si="256"/>
        <v>0</v>
      </c>
      <c r="AI314" s="232">
        <f t="shared" si="257"/>
        <v>1</v>
      </c>
      <c r="AJ314" s="235">
        <f t="shared" si="258"/>
        <v>0</v>
      </c>
      <c r="AK314" s="269">
        <f t="shared" si="259"/>
        <v>0</v>
      </c>
      <c r="AL314" s="269">
        <f t="shared" si="225"/>
        <v>0</v>
      </c>
      <c r="AM314" s="281" t="e">
        <f>IF(B314&gt;=mpfo,pos*vvm*Dados!$E$122*(ntudv-SUM(U$301:$U315))-SUM($AM$13:AM313),0)</f>
        <v>#DIV/0!</v>
      </c>
      <c r="AN314" s="269" t="e">
        <f t="shared" si="260"/>
        <v>#DIV/0!</v>
      </c>
      <c r="AO314" s="232" t="e">
        <f t="shared" si="261"/>
        <v>#DIV/0!</v>
      </c>
      <c r="AP314" s="242" t="e">
        <f t="shared" si="262"/>
        <v>#DIV/0!</v>
      </c>
      <c r="AQ314" s="235" t="e">
        <f>IF(AP314+SUM($AQ$12:AQ313)&gt;=0,0,-AP314-SUM($AQ$12:AQ313))</f>
        <v>#DIV/0!</v>
      </c>
      <c r="AR314" s="235">
        <f>IF(SUM($N$13:N313)&gt;=pmo,IF(SUM(N313:$N$501)&gt;(1-pmo),B314,0),0)</f>
        <v>0</v>
      </c>
      <c r="AS314" s="235" t="e">
        <f>IF((SUM($U$13:$U313)/ntudv)&gt;=pmv,IF((SUM($U313:$U$501)/ntudv)&gt;(1-pmv),B314,0),0)</f>
        <v>#DIV/0!</v>
      </c>
      <c r="AT314" s="237" t="e">
        <f>IF(MAX(mmo,mmv)=mmo,IF(B314=AR314,(SUM(N$13:$N313)-pmo)/((1-VLOOKUP(MAX(mmo,mmv)-1,$B$13:$O$501,14))+(VLOOKUP(MAX(mmo,mmv)-1,$B$13:$O$501,14)-pmo)),N313/((1-VLOOKUP(MAX(mmo,mmv)-1,$B$13:$O$501,14)+(VLOOKUP(MAX(mmo,mmv)-1,$B$13:$O$501,14)-pmo)))),N313/(1-VLOOKUP(MAX(mmo,mmv)-2,$B$13:$O$501,14)))</f>
        <v>#DIV/0!</v>
      </c>
      <c r="AU314" s="101" t="e">
        <f t="shared" si="226"/>
        <v>#DIV/0!</v>
      </c>
      <c r="AV314" s="287" t="e">
        <f t="shared" si="227"/>
        <v>#DIV/0!</v>
      </c>
      <c r="AW314" s="235" t="e">
        <f t="shared" si="263"/>
        <v>#DIV/0!</v>
      </c>
      <c r="AX314" s="281">
        <f>IF(B314&gt;mpfo,0,IF(B314=mpfo,(vld-teo*(1+tcfo-incc)^(MAX(mmo,mmv)-mbfo))*-1,IF(SUM($N$13:N313)&gt;=pmo,IF(($V313/ntudv)&gt;=pmv,IF(B314=MAX(mmo,mmv),-teo*(1+tcfo-incc)^(B314-mbfo),0),0),0)))</f>
        <v>0</v>
      </c>
      <c r="AY314" s="292" t="e">
        <f t="shared" si="228"/>
        <v>#DIV/0!</v>
      </c>
      <c r="AZ314" s="235" t="e">
        <f t="shared" si="264"/>
        <v>#DIV/0!</v>
      </c>
      <c r="BA314" s="269" t="e">
        <f t="shared" si="265"/>
        <v>#DIV/0!</v>
      </c>
      <c r="BB314" s="292" t="e">
        <f t="shared" si="266"/>
        <v>#DIV/0!</v>
      </c>
      <c r="BC314" s="238" t="e">
        <f>IF(SUM($BC$13:BC313)&gt;0,0,IF(BB314&gt;0,B314,0))</f>
        <v>#DIV/0!</v>
      </c>
      <c r="BD314" s="292" t="e">
        <f>IF(BB314+SUM($BD$12:BD313)&gt;=0,0,-BB314-SUM($BD$12:BD313))</f>
        <v>#DIV/0!</v>
      </c>
      <c r="BE314" s="235" t="e">
        <f>BB314+SUM($BD$12:BD314)</f>
        <v>#DIV/0!</v>
      </c>
      <c r="BF314" s="292" t="e">
        <f>-MIN(BE314:$BE$501)-SUM(BF$12:$BF313)</f>
        <v>#DIV/0!</v>
      </c>
      <c r="BG314" s="235" t="e">
        <f t="shared" si="231"/>
        <v>#DIV/0!</v>
      </c>
    </row>
    <row r="315" spans="2:59">
      <c r="B315" s="120">
        <v>302</v>
      </c>
      <c r="C315" s="241">
        <f t="shared" si="230"/>
        <v>51871</v>
      </c>
      <c r="D315" s="229">
        <f t="shared" si="232"/>
        <v>1</v>
      </c>
      <c r="E315" s="230" t="str">
        <f t="shared" si="233"/>
        <v>-</v>
      </c>
      <c r="F315" s="231">
        <f t="shared" si="234"/>
        <v>0</v>
      </c>
      <c r="G315" s="231">
        <f t="shared" si="235"/>
        <v>0</v>
      </c>
      <c r="H315" s="231">
        <f t="shared" si="236"/>
        <v>0</v>
      </c>
      <c r="I315" s="268">
        <f t="shared" si="221"/>
        <v>0</v>
      </c>
      <c r="J315" s="269">
        <f t="shared" si="237"/>
        <v>0</v>
      </c>
      <c r="K315" s="269">
        <f t="shared" si="238"/>
        <v>0</v>
      </c>
      <c r="L315" s="269">
        <f t="shared" si="222"/>
        <v>0</v>
      </c>
      <c r="M315" s="269">
        <f t="shared" si="223"/>
        <v>0</v>
      </c>
      <c r="N315" s="233">
        <f>VLOOKUP(B315,Dados!$L$86:$P$90,5)</f>
        <v>0</v>
      </c>
      <c r="O315" s="270">
        <f t="shared" si="239"/>
        <v>0.99999999999999989</v>
      </c>
      <c r="P315" s="269">
        <f t="shared" si="240"/>
        <v>0</v>
      </c>
      <c r="Q315" s="269" t="e">
        <f t="shared" si="241"/>
        <v>#DIV/0!</v>
      </c>
      <c r="R315" s="269">
        <f t="shared" si="242"/>
        <v>0</v>
      </c>
      <c r="S315" s="269" t="e">
        <f t="shared" si="243"/>
        <v>#DIV/0!</v>
      </c>
      <c r="T315" s="269" t="e">
        <f t="shared" si="229"/>
        <v>#DIV/0!</v>
      </c>
      <c r="U315" s="234">
        <f t="shared" si="244"/>
        <v>0</v>
      </c>
      <c r="V315" s="232" t="e">
        <f t="shared" si="245"/>
        <v>#DIV/0!</v>
      </c>
      <c r="W315" s="269" t="e">
        <f t="shared" si="246"/>
        <v>#DIV/0!</v>
      </c>
      <c r="X315" s="235">
        <f t="shared" si="224"/>
        <v>0</v>
      </c>
      <c r="Y315" s="236">
        <f t="shared" si="247"/>
        <v>5</v>
      </c>
      <c r="Z315" s="236" t="e">
        <f t="shared" si="248"/>
        <v>#DIV/0!</v>
      </c>
      <c r="AA315" s="236">
        <f t="shared" si="249"/>
        <v>3</v>
      </c>
      <c r="AB315" s="236" t="e">
        <f t="shared" si="250"/>
        <v>#DIV/0!</v>
      </c>
      <c r="AC315" s="235">
        <f t="shared" si="251"/>
        <v>0</v>
      </c>
      <c r="AD315" s="235">
        <f t="shared" si="252"/>
        <v>0</v>
      </c>
      <c r="AE315" s="279">
        <f t="shared" si="253"/>
        <v>0</v>
      </c>
      <c r="AF315" s="232">
        <f t="shared" si="254"/>
        <v>0</v>
      </c>
      <c r="AG315" s="235">
        <f t="shared" si="255"/>
        <v>0</v>
      </c>
      <c r="AH315" s="269">
        <f t="shared" si="256"/>
        <v>0</v>
      </c>
      <c r="AI315" s="232">
        <f t="shared" si="257"/>
        <v>0</v>
      </c>
      <c r="AJ315" s="235">
        <f t="shared" si="258"/>
        <v>0</v>
      </c>
      <c r="AK315" s="269">
        <f t="shared" si="259"/>
        <v>0</v>
      </c>
      <c r="AL315" s="269">
        <f t="shared" si="225"/>
        <v>0</v>
      </c>
      <c r="AM315" s="281" t="e">
        <f>IF(B315&gt;=mpfo,pos*vvm*Dados!$E$122*(ntudv-SUM(U$301:$U316))-SUM($AM$13:AM314),0)</f>
        <v>#DIV/0!</v>
      </c>
      <c r="AN315" s="269" t="e">
        <f t="shared" si="260"/>
        <v>#DIV/0!</v>
      </c>
      <c r="AO315" s="232" t="e">
        <f t="shared" si="261"/>
        <v>#DIV/0!</v>
      </c>
      <c r="AP315" s="242" t="e">
        <f t="shared" si="262"/>
        <v>#DIV/0!</v>
      </c>
      <c r="AQ315" s="235" t="e">
        <f>IF(AP315+SUM($AQ$12:AQ314)&gt;=0,0,-AP315-SUM($AQ$12:AQ314))</f>
        <v>#DIV/0!</v>
      </c>
      <c r="AR315" s="235">
        <f>IF(SUM($N$13:N314)&gt;=pmo,IF(SUM(N314:$N$501)&gt;(1-pmo),B315,0),0)</f>
        <v>0</v>
      </c>
      <c r="AS315" s="235" t="e">
        <f>IF((SUM($U$13:$U314)/ntudv)&gt;=pmv,IF((SUM($U314:$U$501)/ntudv)&gt;(1-pmv),B315,0),0)</f>
        <v>#DIV/0!</v>
      </c>
      <c r="AT315" s="237" t="e">
        <f>IF(MAX(mmo,mmv)=mmo,IF(B315=AR315,(SUM(N$13:$N314)-pmo)/((1-VLOOKUP(MAX(mmo,mmv)-1,$B$13:$O$501,14))+(VLOOKUP(MAX(mmo,mmv)-1,$B$13:$O$501,14)-pmo)),N314/((1-VLOOKUP(MAX(mmo,mmv)-1,$B$13:$O$501,14)+(VLOOKUP(MAX(mmo,mmv)-1,$B$13:$O$501,14)-pmo)))),N314/(1-VLOOKUP(MAX(mmo,mmv)-2,$B$13:$O$501,14)))</f>
        <v>#DIV/0!</v>
      </c>
      <c r="AU315" s="101" t="e">
        <f t="shared" si="226"/>
        <v>#DIV/0!</v>
      </c>
      <c r="AV315" s="287" t="e">
        <f t="shared" si="227"/>
        <v>#DIV/0!</v>
      </c>
      <c r="AW315" s="235" t="e">
        <f t="shared" si="263"/>
        <v>#DIV/0!</v>
      </c>
      <c r="AX315" s="281">
        <f>IF(B315&gt;mpfo,0,IF(B315=mpfo,(vld-teo*(1+tcfo-incc)^(MAX(mmo,mmv)-mbfo))*-1,IF(SUM($N$13:N314)&gt;=pmo,IF(($V314/ntudv)&gt;=pmv,IF(B315=MAX(mmo,mmv),-teo*(1+tcfo-incc)^(B315-mbfo),0),0),0)))</f>
        <v>0</v>
      </c>
      <c r="AY315" s="292" t="e">
        <f t="shared" si="228"/>
        <v>#DIV/0!</v>
      </c>
      <c r="AZ315" s="235" t="e">
        <f t="shared" si="264"/>
        <v>#DIV/0!</v>
      </c>
      <c r="BA315" s="269" t="e">
        <f t="shared" si="265"/>
        <v>#DIV/0!</v>
      </c>
      <c r="BB315" s="292" t="e">
        <f t="shared" si="266"/>
        <v>#DIV/0!</v>
      </c>
      <c r="BC315" s="238" t="e">
        <f>IF(SUM($BC$13:BC314)&gt;0,0,IF(BB315&gt;0,B315,0))</f>
        <v>#DIV/0!</v>
      </c>
      <c r="BD315" s="292" t="e">
        <f>IF(BB315+SUM($BD$12:BD314)&gt;=0,0,-BB315-SUM($BD$12:BD314))</f>
        <v>#DIV/0!</v>
      </c>
      <c r="BE315" s="235" t="e">
        <f>BB315+SUM($BD$12:BD315)</f>
        <v>#DIV/0!</v>
      </c>
      <c r="BF315" s="292" t="e">
        <f>-MIN(BE315:$BE$501)-SUM(BF$12:$BF314)</f>
        <v>#DIV/0!</v>
      </c>
      <c r="BG315" s="235" t="e">
        <f t="shared" si="231"/>
        <v>#DIV/0!</v>
      </c>
    </row>
    <row r="316" spans="2:59">
      <c r="B316" s="246">
        <v>303</v>
      </c>
      <c r="C316" s="241">
        <f t="shared" si="230"/>
        <v>51902</v>
      </c>
      <c r="D316" s="229">
        <f t="shared" si="232"/>
        <v>2</v>
      </c>
      <c r="E316" s="230" t="str">
        <f t="shared" si="233"/>
        <v>-</v>
      </c>
      <c r="F316" s="231">
        <f t="shared" si="234"/>
        <v>0</v>
      </c>
      <c r="G316" s="231">
        <f t="shared" si="235"/>
        <v>0</v>
      </c>
      <c r="H316" s="231">
        <f t="shared" si="236"/>
        <v>0</v>
      </c>
      <c r="I316" s="268">
        <f t="shared" si="221"/>
        <v>0</v>
      </c>
      <c r="J316" s="269">
        <f t="shared" si="237"/>
        <v>0</v>
      </c>
      <c r="K316" s="269">
        <f t="shared" si="238"/>
        <v>0</v>
      </c>
      <c r="L316" s="269">
        <f t="shared" si="222"/>
        <v>0</v>
      </c>
      <c r="M316" s="269">
        <f t="shared" si="223"/>
        <v>0</v>
      </c>
      <c r="N316" s="233">
        <f>VLOOKUP(B316,Dados!$L$86:$P$90,5)</f>
        <v>0</v>
      </c>
      <c r="O316" s="270">
        <f t="shared" si="239"/>
        <v>0.99999999999999989</v>
      </c>
      <c r="P316" s="269">
        <f t="shared" si="240"/>
        <v>0</v>
      </c>
      <c r="Q316" s="269" t="e">
        <f t="shared" si="241"/>
        <v>#DIV/0!</v>
      </c>
      <c r="R316" s="269">
        <f t="shared" si="242"/>
        <v>0</v>
      </c>
      <c r="S316" s="269" t="e">
        <f t="shared" si="243"/>
        <v>#DIV/0!</v>
      </c>
      <c r="T316" s="269" t="e">
        <f t="shared" si="229"/>
        <v>#DIV/0!</v>
      </c>
      <c r="U316" s="234">
        <f t="shared" si="244"/>
        <v>0</v>
      </c>
      <c r="V316" s="232" t="e">
        <f t="shared" si="245"/>
        <v>#DIV/0!</v>
      </c>
      <c r="W316" s="269" t="e">
        <f t="shared" si="246"/>
        <v>#DIV/0!</v>
      </c>
      <c r="X316" s="235">
        <f t="shared" si="224"/>
        <v>0</v>
      </c>
      <c r="Y316" s="236">
        <f t="shared" si="247"/>
        <v>5</v>
      </c>
      <c r="Z316" s="236" t="e">
        <f t="shared" si="248"/>
        <v>#DIV/0!</v>
      </c>
      <c r="AA316" s="236">
        <f t="shared" si="249"/>
        <v>3</v>
      </c>
      <c r="AB316" s="236" t="e">
        <f t="shared" si="250"/>
        <v>#DIV/0!</v>
      </c>
      <c r="AC316" s="235">
        <f t="shared" si="251"/>
        <v>0</v>
      </c>
      <c r="AD316" s="235">
        <f t="shared" si="252"/>
        <v>0</v>
      </c>
      <c r="AE316" s="279">
        <f t="shared" si="253"/>
        <v>0</v>
      </c>
      <c r="AF316" s="232">
        <f t="shared" si="254"/>
        <v>0</v>
      </c>
      <c r="AG316" s="235">
        <f t="shared" si="255"/>
        <v>0</v>
      </c>
      <c r="AH316" s="269">
        <f t="shared" si="256"/>
        <v>0</v>
      </c>
      <c r="AI316" s="232">
        <f t="shared" si="257"/>
        <v>0</v>
      </c>
      <c r="AJ316" s="235">
        <f t="shared" si="258"/>
        <v>0</v>
      </c>
      <c r="AK316" s="269">
        <f t="shared" si="259"/>
        <v>0</v>
      </c>
      <c r="AL316" s="269">
        <f t="shared" si="225"/>
        <v>0</v>
      </c>
      <c r="AM316" s="281" t="e">
        <f>IF(B316&gt;=mpfo,pos*vvm*Dados!$E$122*(ntudv-SUM(U$301:$U317))-SUM($AM$13:AM315),0)</f>
        <v>#DIV/0!</v>
      </c>
      <c r="AN316" s="269" t="e">
        <f t="shared" si="260"/>
        <v>#DIV/0!</v>
      </c>
      <c r="AO316" s="232" t="e">
        <f t="shared" si="261"/>
        <v>#DIV/0!</v>
      </c>
      <c r="AP316" s="242" t="e">
        <f t="shared" si="262"/>
        <v>#DIV/0!</v>
      </c>
      <c r="AQ316" s="235" t="e">
        <f>IF(AP316+SUM($AQ$12:AQ315)&gt;=0,0,-AP316-SUM($AQ$12:AQ315))</f>
        <v>#DIV/0!</v>
      </c>
      <c r="AR316" s="235">
        <f>IF(SUM($N$13:N315)&gt;=pmo,IF(SUM(N315:$N$501)&gt;(1-pmo),B316,0),0)</f>
        <v>0</v>
      </c>
      <c r="AS316" s="235" t="e">
        <f>IF((SUM($U$13:$U315)/ntudv)&gt;=pmv,IF((SUM($U315:$U$501)/ntudv)&gt;(1-pmv),B316,0),0)</f>
        <v>#DIV/0!</v>
      </c>
      <c r="AT316" s="237" t="e">
        <f>IF(MAX(mmo,mmv)=mmo,IF(B316=AR316,(SUM(N$13:$N315)-pmo)/((1-VLOOKUP(MAX(mmo,mmv)-1,$B$13:$O$501,14))+(VLOOKUP(MAX(mmo,mmv)-1,$B$13:$O$501,14)-pmo)),N315/((1-VLOOKUP(MAX(mmo,mmv)-1,$B$13:$O$501,14)+(VLOOKUP(MAX(mmo,mmv)-1,$B$13:$O$501,14)-pmo)))),N315/(1-VLOOKUP(MAX(mmo,mmv)-2,$B$13:$O$501,14)))</f>
        <v>#DIV/0!</v>
      </c>
      <c r="AU316" s="101" t="e">
        <f t="shared" si="226"/>
        <v>#DIV/0!</v>
      </c>
      <c r="AV316" s="287" t="e">
        <f t="shared" si="227"/>
        <v>#DIV/0!</v>
      </c>
      <c r="AW316" s="235" t="e">
        <f t="shared" si="263"/>
        <v>#DIV/0!</v>
      </c>
      <c r="AX316" s="281">
        <f>IF(B316&gt;mpfo,0,IF(B316=mpfo,(vld-teo*(1+tcfo-incc)^(MAX(mmo,mmv)-mbfo))*-1,IF(SUM($N$13:N315)&gt;=pmo,IF(($V315/ntudv)&gt;=pmv,IF(B316=MAX(mmo,mmv),-teo*(1+tcfo-incc)^(B316-mbfo),0),0),0)))</f>
        <v>0</v>
      </c>
      <c r="AY316" s="292" t="e">
        <f t="shared" si="228"/>
        <v>#DIV/0!</v>
      </c>
      <c r="AZ316" s="235" t="e">
        <f t="shared" si="264"/>
        <v>#DIV/0!</v>
      </c>
      <c r="BA316" s="269" t="e">
        <f t="shared" si="265"/>
        <v>#DIV/0!</v>
      </c>
      <c r="BB316" s="292" t="e">
        <f t="shared" si="266"/>
        <v>#DIV/0!</v>
      </c>
      <c r="BC316" s="238" t="e">
        <f>IF(SUM($BC$13:BC315)&gt;0,0,IF(BB316&gt;0,B316,0))</f>
        <v>#DIV/0!</v>
      </c>
      <c r="BD316" s="292" t="e">
        <f>IF(BB316+SUM($BD$12:BD315)&gt;=0,0,-BB316-SUM($BD$12:BD315))</f>
        <v>#DIV/0!</v>
      </c>
      <c r="BE316" s="235" t="e">
        <f>BB316+SUM($BD$12:BD316)</f>
        <v>#DIV/0!</v>
      </c>
      <c r="BF316" s="292" t="e">
        <f>-MIN(BE316:$BE$501)-SUM(BF$12:$BF315)</f>
        <v>#DIV/0!</v>
      </c>
      <c r="BG316" s="235" t="e">
        <f t="shared" si="231"/>
        <v>#DIV/0!</v>
      </c>
    </row>
    <row r="317" spans="2:59">
      <c r="B317" s="120">
        <v>304</v>
      </c>
      <c r="C317" s="241">
        <f t="shared" si="230"/>
        <v>51930</v>
      </c>
      <c r="D317" s="229">
        <f t="shared" si="232"/>
        <v>3</v>
      </c>
      <c r="E317" s="230" t="str">
        <f t="shared" si="233"/>
        <v>-</v>
      </c>
      <c r="F317" s="231">
        <f t="shared" si="234"/>
        <v>0</v>
      </c>
      <c r="G317" s="231">
        <f t="shared" si="235"/>
        <v>0</v>
      </c>
      <c r="H317" s="231">
        <f t="shared" si="236"/>
        <v>0</v>
      </c>
      <c r="I317" s="268">
        <f t="shared" si="221"/>
        <v>0</v>
      </c>
      <c r="J317" s="269">
        <f t="shared" si="237"/>
        <v>0</v>
      </c>
      <c r="K317" s="269">
        <f t="shared" si="238"/>
        <v>0</v>
      </c>
      <c r="L317" s="269">
        <f t="shared" si="222"/>
        <v>0</v>
      </c>
      <c r="M317" s="269">
        <f t="shared" si="223"/>
        <v>0</v>
      </c>
      <c r="N317" s="233">
        <f>VLOOKUP(B317,Dados!$L$86:$P$90,5)</f>
        <v>0</v>
      </c>
      <c r="O317" s="270">
        <f t="shared" si="239"/>
        <v>0.99999999999999989</v>
      </c>
      <c r="P317" s="269">
        <f t="shared" si="240"/>
        <v>0</v>
      </c>
      <c r="Q317" s="269" t="e">
        <f t="shared" si="241"/>
        <v>#DIV/0!</v>
      </c>
      <c r="R317" s="269">
        <f t="shared" si="242"/>
        <v>0</v>
      </c>
      <c r="S317" s="269" t="e">
        <f t="shared" si="243"/>
        <v>#DIV/0!</v>
      </c>
      <c r="T317" s="269" t="e">
        <f t="shared" si="229"/>
        <v>#DIV/0!</v>
      </c>
      <c r="U317" s="234">
        <f t="shared" si="244"/>
        <v>0</v>
      </c>
      <c r="V317" s="232" t="e">
        <f t="shared" si="245"/>
        <v>#DIV/0!</v>
      </c>
      <c r="W317" s="269" t="e">
        <f t="shared" si="246"/>
        <v>#DIV/0!</v>
      </c>
      <c r="X317" s="235">
        <f t="shared" si="224"/>
        <v>0</v>
      </c>
      <c r="Y317" s="236">
        <f t="shared" si="247"/>
        <v>5</v>
      </c>
      <c r="Z317" s="236" t="e">
        <f t="shared" si="248"/>
        <v>#DIV/0!</v>
      </c>
      <c r="AA317" s="236">
        <f t="shared" si="249"/>
        <v>3</v>
      </c>
      <c r="AB317" s="236" t="e">
        <f t="shared" si="250"/>
        <v>#DIV/0!</v>
      </c>
      <c r="AC317" s="235">
        <f t="shared" si="251"/>
        <v>0</v>
      </c>
      <c r="AD317" s="235">
        <f t="shared" si="252"/>
        <v>0</v>
      </c>
      <c r="AE317" s="279">
        <f t="shared" si="253"/>
        <v>0</v>
      </c>
      <c r="AF317" s="232">
        <f t="shared" si="254"/>
        <v>0</v>
      </c>
      <c r="AG317" s="235">
        <f t="shared" si="255"/>
        <v>0</v>
      </c>
      <c r="AH317" s="269">
        <f t="shared" si="256"/>
        <v>0</v>
      </c>
      <c r="AI317" s="232">
        <f t="shared" si="257"/>
        <v>0</v>
      </c>
      <c r="AJ317" s="235">
        <f t="shared" si="258"/>
        <v>0</v>
      </c>
      <c r="AK317" s="269">
        <f t="shared" si="259"/>
        <v>0</v>
      </c>
      <c r="AL317" s="269">
        <f t="shared" si="225"/>
        <v>0</v>
      </c>
      <c r="AM317" s="281" t="e">
        <f>IF(B317&gt;=mpfo,pos*vvm*Dados!$E$122*(ntudv-SUM(U$301:$U318))-SUM($AM$13:AM316),0)</f>
        <v>#DIV/0!</v>
      </c>
      <c r="AN317" s="269" t="e">
        <f t="shared" si="260"/>
        <v>#DIV/0!</v>
      </c>
      <c r="AO317" s="232" t="e">
        <f t="shared" si="261"/>
        <v>#DIV/0!</v>
      </c>
      <c r="AP317" s="242" t="e">
        <f t="shared" si="262"/>
        <v>#DIV/0!</v>
      </c>
      <c r="AQ317" s="235" t="e">
        <f>IF(AP317+SUM($AQ$12:AQ316)&gt;=0,0,-AP317-SUM($AQ$12:AQ316))</f>
        <v>#DIV/0!</v>
      </c>
      <c r="AR317" s="235">
        <f>IF(SUM($N$13:N316)&gt;=pmo,IF(SUM(N316:$N$501)&gt;(1-pmo),B317,0),0)</f>
        <v>0</v>
      </c>
      <c r="AS317" s="235" t="e">
        <f>IF((SUM($U$13:$U316)/ntudv)&gt;=pmv,IF((SUM($U316:$U$501)/ntudv)&gt;(1-pmv),B317,0),0)</f>
        <v>#DIV/0!</v>
      </c>
      <c r="AT317" s="237" t="e">
        <f>IF(MAX(mmo,mmv)=mmo,IF(B317=AR317,(SUM(N$13:$N316)-pmo)/((1-VLOOKUP(MAX(mmo,mmv)-1,$B$13:$O$501,14))+(VLOOKUP(MAX(mmo,mmv)-1,$B$13:$O$501,14)-pmo)),N316/((1-VLOOKUP(MAX(mmo,mmv)-1,$B$13:$O$501,14)+(VLOOKUP(MAX(mmo,mmv)-1,$B$13:$O$501,14)-pmo)))),N316/(1-VLOOKUP(MAX(mmo,mmv)-2,$B$13:$O$501,14)))</f>
        <v>#DIV/0!</v>
      </c>
      <c r="AU317" s="101" t="e">
        <f t="shared" si="226"/>
        <v>#DIV/0!</v>
      </c>
      <c r="AV317" s="287" t="e">
        <f t="shared" si="227"/>
        <v>#DIV/0!</v>
      </c>
      <c r="AW317" s="235" t="e">
        <f t="shared" si="263"/>
        <v>#DIV/0!</v>
      </c>
      <c r="AX317" s="281">
        <f>IF(B317&gt;mpfo,0,IF(B317=mpfo,(vld-teo*(1+tcfo-incc)^(MAX(mmo,mmv)-mbfo))*-1,IF(SUM($N$13:N316)&gt;=pmo,IF(($V316/ntudv)&gt;=pmv,IF(B317=MAX(mmo,mmv),-teo*(1+tcfo-incc)^(B317-mbfo),0),0),0)))</f>
        <v>0</v>
      </c>
      <c r="AY317" s="292" t="e">
        <f t="shared" si="228"/>
        <v>#DIV/0!</v>
      </c>
      <c r="AZ317" s="235" t="e">
        <f t="shared" si="264"/>
        <v>#DIV/0!</v>
      </c>
      <c r="BA317" s="269" t="e">
        <f t="shared" si="265"/>
        <v>#DIV/0!</v>
      </c>
      <c r="BB317" s="292" t="e">
        <f t="shared" si="266"/>
        <v>#DIV/0!</v>
      </c>
      <c r="BC317" s="238" t="e">
        <f>IF(SUM($BC$13:BC316)&gt;0,0,IF(BB317&gt;0,B317,0))</f>
        <v>#DIV/0!</v>
      </c>
      <c r="BD317" s="292" t="e">
        <f>IF(BB317+SUM($BD$12:BD316)&gt;=0,0,-BB317-SUM($BD$12:BD316))</f>
        <v>#DIV/0!</v>
      </c>
      <c r="BE317" s="235" t="e">
        <f>BB317+SUM($BD$12:BD317)</f>
        <v>#DIV/0!</v>
      </c>
      <c r="BF317" s="292" t="e">
        <f>-MIN(BE317:$BE$501)-SUM(BF$12:$BF316)</f>
        <v>#DIV/0!</v>
      </c>
      <c r="BG317" s="235" t="e">
        <f t="shared" si="231"/>
        <v>#DIV/0!</v>
      </c>
    </row>
    <row r="318" spans="2:59">
      <c r="B318" s="246">
        <v>305</v>
      </c>
      <c r="C318" s="241">
        <f t="shared" si="230"/>
        <v>51961</v>
      </c>
      <c r="D318" s="229">
        <f t="shared" si="232"/>
        <v>4</v>
      </c>
      <c r="E318" s="230" t="str">
        <f t="shared" si="233"/>
        <v>-</v>
      </c>
      <c r="F318" s="231">
        <f t="shared" si="234"/>
        <v>0</v>
      </c>
      <c r="G318" s="231">
        <f t="shared" si="235"/>
        <v>0</v>
      </c>
      <c r="H318" s="231">
        <f t="shared" si="236"/>
        <v>0</v>
      </c>
      <c r="I318" s="268">
        <f t="shared" si="221"/>
        <v>0</v>
      </c>
      <c r="J318" s="269">
        <f t="shared" si="237"/>
        <v>0</v>
      </c>
      <c r="K318" s="269">
        <f t="shared" si="238"/>
        <v>0</v>
      </c>
      <c r="L318" s="269">
        <f t="shared" si="222"/>
        <v>0</v>
      </c>
      <c r="M318" s="269">
        <f t="shared" si="223"/>
        <v>0</v>
      </c>
      <c r="N318" s="233">
        <f>VLOOKUP(B318,Dados!$L$86:$P$90,5)</f>
        <v>0</v>
      </c>
      <c r="O318" s="270">
        <f t="shared" si="239"/>
        <v>0.99999999999999989</v>
      </c>
      <c r="P318" s="269">
        <f t="shared" si="240"/>
        <v>0</v>
      </c>
      <c r="Q318" s="269" t="e">
        <f t="shared" si="241"/>
        <v>#DIV/0!</v>
      </c>
      <c r="R318" s="269">
        <f t="shared" si="242"/>
        <v>0</v>
      </c>
      <c r="S318" s="269" t="e">
        <f t="shared" si="243"/>
        <v>#DIV/0!</v>
      </c>
      <c r="T318" s="269" t="e">
        <f t="shared" si="229"/>
        <v>#DIV/0!</v>
      </c>
      <c r="U318" s="234">
        <f t="shared" si="244"/>
        <v>0</v>
      </c>
      <c r="V318" s="232" t="e">
        <f t="shared" si="245"/>
        <v>#DIV/0!</v>
      </c>
      <c r="W318" s="269" t="e">
        <f t="shared" si="246"/>
        <v>#DIV/0!</v>
      </c>
      <c r="X318" s="235">
        <f t="shared" si="224"/>
        <v>0</v>
      </c>
      <c r="Y318" s="236">
        <f t="shared" si="247"/>
        <v>5</v>
      </c>
      <c r="Z318" s="236" t="e">
        <f t="shared" si="248"/>
        <v>#DIV/0!</v>
      </c>
      <c r="AA318" s="236">
        <f t="shared" si="249"/>
        <v>3</v>
      </c>
      <c r="AB318" s="236" t="e">
        <f t="shared" si="250"/>
        <v>#DIV/0!</v>
      </c>
      <c r="AC318" s="235">
        <f t="shared" si="251"/>
        <v>0</v>
      </c>
      <c r="AD318" s="235">
        <f t="shared" si="252"/>
        <v>0</v>
      </c>
      <c r="AE318" s="279">
        <f t="shared" si="253"/>
        <v>0</v>
      </c>
      <c r="AF318" s="232">
        <f t="shared" si="254"/>
        <v>0</v>
      </c>
      <c r="AG318" s="235">
        <f t="shared" si="255"/>
        <v>0</v>
      </c>
      <c r="AH318" s="269">
        <f t="shared" si="256"/>
        <v>0</v>
      </c>
      <c r="AI318" s="232">
        <f t="shared" si="257"/>
        <v>0</v>
      </c>
      <c r="AJ318" s="235">
        <f t="shared" si="258"/>
        <v>0</v>
      </c>
      <c r="AK318" s="269">
        <f t="shared" si="259"/>
        <v>0</v>
      </c>
      <c r="AL318" s="269">
        <f t="shared" si="225"/>
        <v>0</v>
      </c>
      <c r="AM318" s="281" t="e">
        <f>IF(B318&gt;=mpfo,pos*vvm*Dados!$E$122*(ntudv-SUM(U$301:$U319))-SUM($AM$13:AM317),0)</f>
        <v>#DIV/0!</v>
      </c>
      <c r="AN318" s="269" t="e">
        <f t="shared" si="260"/>
        <v>#DIV/0!</v>
      </c>
      <c r="AO318" s="232" t="e">
        <f t="shared" si="261"/>
        <v>#DIV/0!</v>
      </c>
      <c r="AP318" s="242" t="e">
        <f t="shared" si="262"/>
        <v>#DIV/0!</v>
      </c>
      <c r="AQ318" s="235" t="e">
        <f>IF(AP318+SUM($AQ$12:AQ317)&gt;=0,0,-AP318-SUM($AQ$12:AQ317))</f>
        <v>#DIV/0!</v>
      </c>
      <c r="AR318" s="235">
        <f>IF(SUM($N$13:N317)&gt;=pmo,IF(SUM(N317:$N$501)&gt;(1-pmo),B318,0),0)</f>
        <v>0</v>
      </c>
      <c r="AS318" s="235" t="e">
        <f>IF((SUM($U$13:$U317)/ntudv)&gt;=pmv,IF((SUM($U317:$U$501)/ntudv)&gt;(1-pmv),B318,0),0)</f>
        <v>#DIV/0!</v>
      </c>
      <c r="AT318" s="237" t="e">
        <f>IF(MAX(mmo,mmv)=mmo,IF(B318=AR318,(SUM(N$13:$N317)-pmo)/((1-VLOOKUP(MAX(mmo,mmv)-1,$B$13:$O$501,14))+(VLOOKUP(MAX(mmo,mmv)-1,$B$13:$O$501,14)-pmo)),N317/((1-VLOOKUP(MAX(mmo,mmv)-1,$B$13:$O$501,14)+(VLOOKUP(MAX(mmo,mmv)-1,$B$13:$O$501,14)-pmo)))),N317/(1-VLOOKUP(MAX(mmo,mmv)-2,$B$13:$O$501,14)))</f>
        <v>#DIV/0!</v>
      </c>
      <c r="AU318" s="101" t="e">
        <f t="shared" si="226"/>
        <v>#DIV/0!</v>
      </c>
      <c r="AV318" s="287" t="e">
        <f t="shared" si="227"/>
        <v>#DIV/0!</v>
      </c>
      <c r="AW318" s="235" t="e">
        <f t="shared" si="263"/>
        <v>#DIV/0!</v>
      </c>
      <c r="AX318" s="281">
        <f>IF(B318&gt;mpfo,0,IF(B318=mpfo,(vld-teo*(1+tcfo-incc)^(MAX(mmo,mmv)-mbfo))*-1,IF(SUM($N$13:N317)&gt;=pmo,IF(($V317/ntudv)&gt;=pmv,IF(B318=MAX(mmo,mmv),-teo*(1+tcfo-incc)^(B318-mbfo),0),0),0)))</f>
        <v>0</v>
      </c>
      <c r="AY318" s="292" t="e">
        <f t="shared" si="228"/>
        <v>#DIV/0!</v>
      </c>
      <c r="AZ318" s="235" t="e">
        <f t="shared" si="264"/>
        <v>#DIV/0!</v>
      </c>
      <c r="BA318" s="269" t="e">
        <f t="shared" si="265"/>
        <v>#DIV/0!</v>
      </c>
      <c r="BB318" s="292" t="e">
        <f t="shared" si="266"/>
        <v>#DIV/0!</v>
      </c>
      <c r="BC318" s="238" t="e">
        <f>IF(SUM($BC$13:BC317)&gt;0,0,IF(BB318&gt;0,B318,0))</f>
        <v>#DIV/0!</v>
      </c>
      <c r="BD318" s="292" t="e">
        <f>IF(BB318+SUM($BD$12:BD317)&gt;=0,0,-BB318-SUM($BD$12:BD317))</f>
        <v>#DIV/0!</v>
      </c>
      <c r="BE318" s="235" t="e">
        <f>BB318+SUM($BD$12:BD318)</f>
        <v>#DIV/0!</v>
      </c>
      <c r="BF318" s="292" t="e">
        <f>-MIN(BE318:$BE$501)-SUM(BF$12:$BF317)</f>
        <v>#DIV/0!</v>
      </c>
      <c r="BG318" s="235" t="e">
        <f t="shared" si="231"/>
        <v>#DIV/0!</v>
      </c>
    </row>
    <row r="319" spans="2:59">
      <c r="B319" s="120">
        <v>306</v>
      </c>
      <c r="C319" s="241">
        <f t="shared" si="230"/>
        <v>51991</v>
      </c>
      <c r="D319" s="229">
        <f t="shared" si="232"/>
        <v>5</v>
      </c>
      <c r="E319" s="230" t="str">
        <f t="shared" si="233"/>
        <v>-</v>
      </c>
      <c r="F319" s="231">
        <f t="shared" si="234"/>
        <v>0</v>
      </c>
      <c r="G319" s="231">
        <f t="shared" si="235"/>
        <v>0</v>
      </c>
      <c r="H319" s="231">
        <f t="shared" si="236"/>
        <v>0</v>
      </c>
      <c r="I319" s="268">
        <f t="shared" si="221"/>
        <v>0</v>
      </c>
      <c r="J319" s="269">
        <f t="shared" si="237"/>
        <v>0</v>
      </c>
      <c r="K319" s="269">
        <f t="shared" si="238"/>
        <v>0</v>
      </c>
      <c r="L319" s="269">
        <f t="shared" si="222"/>
        <v>0</v>
      </c>
      <c r="M319" s="269">
        <f t="shared" si="223"/>
        <v>0</v>
      </c>
      <c r="N319" s="233">
        <f>VLOOKUP(B319,Dados!$L$86:$P$90,5)</f>
        <v>0</v>
      </c>
      <c r="O319" s="270">
        <f t="shared" si="239"/>
        <v>0.99999999999999989</v>
      </c>
      <c r="P319" s="269">
        <f t="shared" si="240"/>
        <v>0</v>
      </c>
      <c r="Q319" s="269" t="e">
        <f t="shared" si="241"/>
        <v>#DIV/0!</v>
      </c>
      <c r="R319" s="269">
        <f t="shared" si="242"/>
        <v>0</v>
      </c>
      <c r="S319" s="269" t="e">
        <f t="shared" si="243"/>
        <v>#DIV/0!</v>
      </c>
      <c r="T319" s="269" t="e">
        <f t="shared" si="229"/>
        <v>#DIV/0!</v>
      </c>
      <c r="U319" s="234">
        <f t="shared" si="244"/>
        <v>0</v>
      </c>
      <c r="V319" s="232" t="e">
        <f t="shared" si="245"/>
        <v>#DIV/0!</v>
      </c>
      <c r="W319" s="269" t="e">
        <f t="shared" si="246"/>
        <v>#DIV/0!</v>
      </c>
      <c r="X319" s="235">
        <f t="shared" si="224"/>
        <v>0</v>
      </c>
      <c r="Y319" s="236">
        <f t="shared" si="247"/>
        <v>5</v>
      </c>
      <c r="Z319" s="236" t="e">
        <f t="shared" si="248"/>
        <v>#DIV/0!</v>
      </c>
      <c r="AA319" s="236">
        <f t="shared" si="249"/>
        <v>3</v>
      </c>
      <c r="AB319" s="236" t="e">
        <f t="shared" si="250"/>
        <v>#DIV/0!</v>
      </c>
      <c r="AC319" s="235">
        <f t="shared" si="251"/>
        <v>0</v>
      </c>
      <c r="AD319" s="235">
        <f t="shared" si="252"/>
        <v>0</v>
      </c>
      <c r="AE319" s="279">
        <f t="shared" si="253"/>
        <v>0</v>
      </c>
      <c r="AF319" s="232">
        <f t="shared" si="254"/>
        <v>0</v>
      </c>
      <c r="AG319" s="235">
        <f t="shared" si="255"/>
        <v>0</v>
      </c>
      <c r="AH319" s="269">
        <f t="shared" si="256"/>
        <v>0</v>
      </c>
      <c r="AI319" s="232">
        <f t="shared" si="257"/>
        <v>0</v>
      </c>
      <c r="AJ319" s="235">
        <f t="shared" si="258"/>
        <v>0</v>
      </c>
      <c r="AK319" s="269">
        <f t="shared" si="259"/>
        <v>0</v>
      </c>
      <c r="AL319" s="269">
        <f t="shared" si="225"/>
        <v>0</v>
      </c>
      <c r="AM319" s="281" t="e">
        <f>IF(B319&gt;=mpfo,pos*vvm*Dados!$E$122*(ntudv-SUM(U$301:$U320))-SUM($AM$13:AM318),0)</f>
        <v>#DIV/0!</v>
      </c>
      <c r="AN319" s="269" t="e">
        <f t="shared" si="260"/>
        <v>#DIV/0!</v>
      </c>
      <c r="AO319" s="232" t="e">
        <f t="shared" si="261"/>
        <v>#DIV/0!</v>
      </c>
      <c r="AP319" s="242" t="e">
        <f t="shared" si="262"/>
        <v>#DIV/0!</v>
      </c>
      <c r="AQ319" s="235" t="e">
        <f>IF(AP319+SUM($AQ$12:AQ318)&gt;=0,0,-AP319-SUM($AQ$12:AQ318))</f>
        <v>#DIV/0!</v>
      </c>
      <c r="AR319" s="235">
        <f>IF(SUM($N$13:N318)&gt;=pmo,IF(SUM(N318:$N$501)&gt;(1-pmo),B319,0),0)</f>
        <v>0</v>
      </c>
      <c r="AS319" s="235" t="e">
        <f>IF((SUM($U$13:$U318)/ntudv)&gt;=pmv,IF((SUM($U318:$U$501)/ntudv)&gt;(1-pmv),B319,0),0)</f>
        <v>#DIV/0!</v>
      </c>
      <c r="AT319" s="237" t="e">
        <f>IF(MAX(mmo,mmv)=mmo,IF(B319=AR319,(SUM(N$13:$N318)-pmo)/((1-VLOOKUP(MAX(mmo,mmv)-1,$B$13:$O$501,14))+(VLOOKUP(MAX(mmo,mmv)-1,$B$13:$O$501,14)-pmo)),N318/((1-VLOOKUP(MAX(mmo,mmv)-1,$B$13:$O$501,14)+(VLOOKUP(MAX(mmo,mmv)-1,$B$13:$O$501,14)-pmo)))),N318/(1-VLOOKUP(MAX(mmo,mmv)-2,$B$13:$O$501,14)))</f>
        <v>#DIV/0!</v>
      </c>
      <c r="AU319" s="101" t="e">
        <f t="shared" si="226"/>
        <v>#DIV/0!</v>
      </c>
      <c r="AV319" s="287" t="e">
        <f t="shared" si="227"/>
        <v>#DIV/0!</v>
      </c>
      <c r="AW319" s="235" t="e">
        <f t="shared" si="263"/>
        <v>#DIV/0!</v>
      </c>
      <c r="AX319" s="281">
        <f>IF(B319&gt;mpfo,0,IF(B319=mpfo,(vld-teo*(1+tcfo-incc)^(MAX(mmo,mmv)-mbfo))*-1,IF(SUM($N$13:N318)&gt;=pmo,IF(($V318/ntudv)&gt;=pmv,IF(B319=MAX(mmo,mmv),-teo*(1+tcfo-incc)^(B319-mbfo),0),0),0)))</f>
        <v>0</v>
      </c>
      <c r="AY319" s="292" t="e">
        <f t="shared" si="228"/>
        <v>#DIV/0!</v>
      </c>
      <c r="AZ319" s="235" t="e">
        <f t="shared" si="264"/>
        <v>#DIV/0!</v>
      </c>
      <c r="BA319" s="269" t="e">
        <f t="shared" si="265"/>
        <v>#DIV/0!</v>
      </c>
      <c r="BB319" s="292" t="e">
        <f t="shared" si="266"/>
        <v>#DIV/0!</v>
      </c>
      <c r="BC319" s="238" t="e">
        <f>IF(SUM($BC$13:BC318)&gt;0,0,IF(BB319&gt;0,B319,0))</f>
        <v>#DIV/0!</v>
      </c>
      <c r="BD319" s="292" t="e">
        <f>IF(BB319+SUM($BD$12:BD318)&gt;=0,0,-BB319-SUM($BD$12:BD318))</f>
        <v>#DIV/0!</v>
      </c>
      <c r="BE319" s="235" t="e">
        <f>BB319+SUM($BD$12:BD319)</f>
        <v>#DIV/0!</v>
      </c>
      <c r="BF319" s="292" t="e">
        <f>-MIN(BE319:$BE$501)-SUM(BF$12:$BF318)</f>
        <v>#DIV/0!</v>
      </c>
      <c r="BG319" s="235" t="e">
        <f t="shared" si="231"/>
        <v>#DIV/0!</v>
      </c>
    </row>
    <row r="320" spans="2:59">
      <c r="B320" s="246">
        <v>307</v>
      </c>
      <c r="C320" s="241">
        <f t="shared" si="230"/>
        <v>52022</v>
      </c>
      <c r="D320" s="229">
        <f t="shared" si="232"/>
        <v>6</v>
      </c>
      <c r="E320" s="230" t="str">
        <f t="shared" si="233"/>
        <v>-</v>
      </c>
      <c r="F320" s="231">
        <f t="shared" si="234"/>
        <v>0</v>
      </c>
      <c r="G320" s="231">
        <f t="shared" si="235"/>
        <v>0</v>
      </c>
      <c r="H320" s="231">
        <f t="shared" si="236"/>
        <v>0</v>
      </c>
      <c r="I320" s="268">
        <f t="shared" si="221"/>
        <v>0</v>
      </c>
      <c r="J320" s="269">
        <f t="shared" si="237"/>
        <v>0</v>
      </c>
      <c r="K320" s="269">
        <f t="shared" si="238"/>
        <v>0</v>
      </c>
      <c r="L320" s="269">
        <f t="shared" si="222"/>
        <v>0</v>
      </c>
      <c r="M320" s="269">
        <f t="shared" si="223"/>
        <v>0</v>
      </c>
      <c r="N320" s="233">
        <f>VLOOKUP(B320,Dados!$L$86:$P$90,5)</f>
        <v>0</v>
      </c>
      <c r="O320" s="270">
        <f t="shared" si="239"/>
        <v>0.99999999999999989</v>
      </c>
      <c r="P320" s="269">
        <f t="shared" si="240"/>
        <v>0</v>
      </c>
      <c r="Q320" s="269" t="e">
        <f t="shared" si="241"/>
        <v>#DIV/0!</v>
      </c>
      <c r="R320" s="269">
        <f t="shared" si="242"/>
        <v>0</v>
      </c>
      <c r="S320" s="269" t="e">
        <f t="shared" si="243"/>
        <v>#DIV/0!</v>
      </c>
      <c r="T320" s="269" t="e">
        <f t="shared" si="229"/>
        <v>#DIV/0!</v>
      </c>
      <c r="U320" s="234">
        <f t="shared" si="244"/>
        <v>0</v>
      </c>
      <c r="V320" s="232" t="e">
        <f t="shared" si="245"/>
        <v>#DIV/0!</v>
      </c>
      <c r="W320" s="269" t="e">
        <f t="shared" si="246"/>
        <v>#DIV/0!</v>
      </c>
      <c r="X320" s="235">
        <f t="shared" si="224"/>
        <v>0</v>
      </c>
      <c r="Y320" s="236">
        <f t="shared" si="247"/>
        <v>5</v>
      </c>
      <c r="Z320" s="236" t="e">
        <f t="shared" si="248"/>
        <v>#DIV/0!</v>
      </c>
      <c r="AA320" s="236">
        <f t="shared" si="249"/>
        <v>3</v>
      </c>
      <c r="AB320" s="236" t="e">
        <f t="shared" si="250"/>
        <v>#DIV/0!</v>
      </c>
      <c r="AC320" s="235">
        <f t="shared" si="251"/>
        <v>0</v>
      </c>
      <c r="AD320" s="235">
        <f t="shared" si="252"/>
        <v>0</v>
      </c>
      <c r="AE320" s="279">
        <f t="shared" si="253"/>
        <v>0</v>
      </c>
      <c r="AF320" s="232">
        <f t="shared" si="254"/>
        <v>1</v>
      </c>
      <c r="AG320" s="235">
        <f t="shared" si="255"/>
        <v>0</v>
      </c>
      <c r="AH320" s="269">
        <f t="shared" si="256"/>
        <v>0</v>
      </c>
      <c r="AI320" s="232">
        <f t="shared" si="257"/>
        <v>0</v>
      </c>
      <c r="AJ320" s="235">
        <f t="shared" si="258"/>
        <v>0</v>
      </c>
      <c r="AK320" s="269">
        <f t="shared" si="259"/>
        <v>0</v>
      </c>
      <c r="AL320" s="269">
        <f t="shared" si="225"/>
        <v>0</v>
      </c>
      <c r="AM320" s="281" t="e">
        <f>IF(B320&gt;=mpfo,pos*vvm*Dados!$E$122*(ntudv-SUM(U$301:$U321))-SUM($AM$13:AM319),0)</f>
        <v>#DIV/0!</v>
      </c>
      <c r="AN320" s="269" t="e">
        <f t="shared" si="260"/>
        <v>#DIV/0!</v>
      </c>
      <c r="AO320" s="232" t="e">
        <f t="shared" si="261"/>
        <v>#DIV/0!</v>
      </c>
      <c r="AP320" s="242" t="e">
        <f t="shared" si="262"/>
        <v>#DIV/0!</v>
      </c>
      <c r="AQ320" s="235" t="e">
        <f>IF(AP320+SUM($AQ$12:AQ319)&gt;=0,0,-AP320-SUM($AQ$12:AQ319))</f>
        <v>#DIV/0!</v>
      </c>
      <c r="AR320" s="235">
        <f>IF(SUM($N$13:N319)&gt;=pmo,IF(SUM(N319:$N$501)&gt;(1-pmo),B320,0),0)</f>
        <v>0</v>
      </c>
      <c r="AS320" s="235" t="e">
        <f>IF((SUM($U$13:$U319)/ntudv)&gt;=pmv,IF((SUM($U319:$U$501)/ntudv)&gt;(1-pmv),B320,0),0)</f>
        <v>#DIV/0!</v>
      </c>
      <c r="AT320" s="237" t="e">
        <f>IF(MAX(mmo,mmv)=mmo,IF(B320=AR320,(SUM(N$13:$N319)-pmo)/((1-VLOOKUP(MAX(mmo,mmv)-1,$B$13:$O$501,14))+(VLOOKUP(MAX(mmo,mmv)-1,$B$13:$O$501,14)-pmo)),N319/((1-VLOOKUP(MAX(mmo,mmv)-1,$B$13:$O$501,14)+(VLOOKUP(MAX(mmo,mmv)-1,$B$13:$O$501,14)-pmo)))),N319/(1-VLOOKUP(MAX(mmo,mmv)-2,$B$13:$O$501,14)))</f>
        <v>#DIV/0!</v>
      </c>
      <c r="AU320" s="101" t="e">
        <f t="shared" si="226"/>
        <v>#DIV/0!</v>
      </c>
      <c r="AV320" s="287" t="e">
        <f t="shared" si="227"/>
        <v>#DIV/0!</v>
      </c>
      <c r="AW320" s="235" t="e">
        <f t="shared" si="263"/>
        <v>#DIV/0!</v>
      </c>
      <c r="AX320" s="281">
        <f>IF(B320&gt;mpfo,0,IF(B320=mpfo,(vld-teo*(1+tcfo-incc)^(MAX(mmo,mmv)-mbfo))*-1,IF(SUM($N$13:N319)&gt;=pmo,IF(($V319/ntudv)&gt;=pmv,IF(B320=MAX(mmo,mmv),-teo*(1+tcfo-incc)^(B320-mbfo),0),0),0)))</f>
        <v>0</v>
      </c>
      <c r="AY320" s="292" t="e">
        <f t="shared" si="228"/>
        <v>#DIV/0!</v>
      </c>
      <c r="AZ320" s="235" t="e">
        <f t="shared" si="264"/>
        <v>#DIV/0!</v>
      </c>
      <c r="BA320" s="269" t="e">
        <f t="shared" si="265"/>
        <v>#DIV/0!</v>
      </c>
      <c r="BB320" s="292" t="e">
        <f t="shared" si="266"/>
        <v>#DIV/0!</v>
      </c>
      <c r="BC320" s="238" t="e">
        <f>IF(SUM($BC$13:BC319)&gt;0,0,IF(BB320&gt;0,B320,0))</f>
        <v>#DIV/0!</v>
      </c>
      <c r="BD320" s="292" t="e">
        <f>IF(BB320+SUM($BD$12:BD319)&gt;=0,0,-BB320-SUM($BD$12:BD319))</f>
        <v>#DIV/0!</v>
      </c>
      <c r="BE320" s="235" t="e">
        <f>BB320+SUM($BD$12:BD320)</f>
        <v>#DIV/0!</v>
      </c>
      <c r="BF320" s="292" t="e">
        <f>-MIN(BE320:$BE$501)-SUM(BF$12:$BF319)</f>
        <v>#DIV/0!</v>
      </c>
      <c r="BG320" s="235" t="e">
        <f t="shared" si="231"/>
        <v>#DIV/0!</v>
      </c>
    </row>
    <row r="321" spans="2:59">
      <c r="B321" s="120">
        <v>308</v>
      </c>
      <c r="C321" s="241">
        <f t="shared" si="230"/>
        <v>52052</v>
      </c>
      <c r="D321" s="229">
        <f t="shared" si="232"/>
        <v>7</v>
      </c>
      <c r="E321" s="230" t="str">
        <f t="shared" si="233"/>
        <v>-</v>
      </c>
      <c r="F321" s="231">
        <f t="shared" si="234"/>
        <v>0</v>
      </c>
      <c r="G321" s="231">
        <f t="shared" si="235"/>
        <v>0</v>
      </c>
      <c r="H321" s="231">
        <f t="shared" si="236"/>
        <v>0</v>
      </c>
      <c r="I321" s="268">
        <f t="shared" si="221"/>
        <v>0</v>
      </c>
      <c r="J321" s="269">
        <f t="shared" si="237"/>
        <v>0</v>
      </c>
      <c r="K321" s="269">
        <f t="shared" si="238"/>
        <v>0</v>
      </c>
      <c r="L321" s="269">
        <f t="shared" si="222"/>
        <v>0</v>
      </c>
      <c r="M321" s="269">
        <f t="shared" si="223"/>
        <v>0</v>
      </c>
      <c r="N321" s="233">
        <f>VLOOKUP(B321,Dados!$L$86:$P$90,5)</f>
        <v>0</v>
      </c>
      <c r="O321" s="270">
        <f t="shared" si="239"/>
        <v>0.99999999999999989</v>
      </c>
      <c r="P321" s="269">
        <f t="shared" si="240"/>
        <v>0</v>
      </c>
      <c r="Q321" s="269" t="e">
        <f t="shared" si="241"/>
        <v>#DIV/0!</v>
      </c>
      <c r="R321" s="269">
        <f t="shared" si="242"/>
        <v>0</v>
      </c>
      <c r="S321" s="269" t="e">
        <f t="shared" si="243"/>
        <v>#DIV/0!</v>
      </c>
      <c r="T321" s="269" t="e">
        <f t="shared" si="229"/>
        <v>#DIV/0!</v>
      </c>
      <c r="U321" s="234">
        <f t="shared" si="244"/>
        <v>0</v>
      </c>
      <c r="V321" s="232" t="e">
        <f t="shared" si="245"/>
        <v>#DIV/0!</v>
      </c>
      <c r="W321" s="269" t="e">
        <f t="shared" si="246"/>
        <v>#DIV/0!</v>
      </c>
      <c r="X321" s="235">
        <f t="shared" si="224"/>
        <v>0</v>
      </c>
      <c r="Y321" s="236">
        <f t="shared" si="247"/>
        <v>5</v>
      </c>
      <c r="Z321" s="236" t="e">
        <f t="shared" si="248"/>
        <v>#DIV/0!</v>
      </c>
      <c r="AA321" s="236">
        <f t="shared" si="249"/>
        <v>3</v>
      </c>
      <c r="AB321" s="236" t="e">
        <f t="shared" si="250"/>
        <v>#DIV/0!</v>
      </c>
      <c r="AC321" s="235">
        <f t="shared" si="251"/>
        <v>0</v>
      </c>
      <c r="AD321" s="235">
        <f t="shared" si="252"/>
        <v>0</v>
      </c>
      <c r="AE321" s="279">
        <f t="shared" si="253"/>
        <v>0</v>
      </c>
      <c r="AF321" s="232">
        <f t="shared" si="254"/>
        <v>0</v>
      </c>
      <c r="AG321" s="235">
        <f t="shared" si="255"/>
        <v>0</v>
      </c>
      <c r="AH321" s="269">
        <f t="shared" si="256"/>
        <v>0</v>
      </c>
      <c r="AI321" s="232">
        <f t="shared" si="257"/>
        <v>0</v>
      </c>
      <c r="AJ321" s="235">
        <f t="shared" si="258"/>
        <v>0</v>
      </c>
      <c r="AK321" s="269">
        <f t="shared" si="259"/>
        <v>0</v>
      </c>
      <c r="AL321" s="269">
        <f t="shared" si="225"/>
        <v>0</v>
      </c>
      <c r="AM321" s="281" t="e">
        <f>IF(B321&gt;=mpfo,pos*vvm*Dados!$E$122*(ntudv-SUM(U$301:$U322))-SUM($AM$13:AM320),0)</f>
        <v>#DIV/0!</v>
      </c>
      <c r="AN321" s="269" t="e">
        <f t="shared" si="260"/>
        <v>#DIV/0!</v>
      </c>
      <c r="AO321" s="232" t="e">
        <f t="shared" si="261"/>
        <v>#DIV/0!</v>
      </c>
      <c r="AP321" s="242" t="e">
        <f t="shared" si="262"/>
        <v>#DIV/0!</v>
      </c>
      <c r="AQ321" s="235" t="e">
        <f>IF(AP321+SUM($AQ$12:AQ320)&gt;=0,0,-AP321-SUM($AQ$12:AQ320))</f>
        <v>#DIV/0!</v>
      </c>
      <c r="AR321" s="235">
        <f>IF(SUM($N$13:N320)&gt;=pmo,IF(SUM(N320:$N$501)&gt;(1-pmo),B321,0),0)</f>
        <v>0</v>
      </c>
      <c r="AS321" s="235" t="e">
        <f>IF((SUM($U$13:$U320)/ntudv)&gt;=pmv,IF((SUM($U320:$U$501)/ntudv)&gt;(1-pmv),B321,0),0)</f>
        <v>#DIV/0!</v>
      </c>
      <c r="AT321" s="237" t="e">
        <f>IF(MAX(mmo,mmv)=mmo,IF(B321=AR321,(SUM(N$13:$N320)-pmo)/((1-VLOOKUP(MAX(mmo,mmv)-1,$B$13:$O$501,14))+(VLOOKUP(MAX(mmo,mmv)-1,$B$13:$O$501,14)-pmo)),N320/((1-VLOOKUP(MAX(mmo,mmv)-1,$B$13:$O$501,14)+(VLOOKUP(MAX(mmo,mmv)-1,$B$13:$O$501,14)-pmo)))),N320/(1-VLOOKUP(MAX(mmo,mmv)-2,$B$13:$O$501,14)))</f>
        <v>#DIV/0!</v>
      </c>
      <c r="AU321" s="101" t="e">
        <f t="shared" si="226"/>
        <v>#DIV/0!</v>
      </c>
      <c r="AV321" s="287" t="e">
        <f t="shared" si="227"/>
        <v>#DIV/0!</v>
      </c>
      <c r="AW321" s="235" t="e">
        <f t="shared" si="263"/>
        <v>#DIV/0!</v>
      </c>
      <c r="AX321" s="281">
        <f>IF(B321&gt;mpfo,0,IF(B321=mpfo,(vld-teo*(1+tcfo-incc)^(MAX(mmo,mmv)-mbfo))*-1,IF(SUM($N$13:N320)&gt;=pmo,IF(($V320/ntudv)&gt;=pmv,IF(B321=MAX(mmo,mmv),-teo*(1+tcfo-incc)^(B321-mbfo),0),0),0)))</f>
        <v>0</v>
      </c>
      <c r="AY321" s="292" t="e">
        <f t="shared" si="228"/>
        <v>#DIV/0!</v>
      </c>
      <c r="AZ321" s="235" t="e">
        <f t="shared" si="264"/>
        <v>#DIV/0!</v>
      </c>
      <c r="BA321" s="269" t="e">
        <f t="shared" si="265"/>
        <v>#DIV/0!</v>
      </c>
      <c r="BB321" s="292" t="e">
        <f t="shared" si="266"/>
        <v>#DIV/0!</v>
      </c>
      <c r="BC321" s="238" t="e">
        <f>IF(SUM($BC$13:BC320)&gt;0,0,IF(BB321&gt;0,B321,0))</f>
        <v>#DIV/0!</v>
      </c>
      <c r="BD321" s="292" t="e">
        <f>IF(BB321+SUM($BD$12:BD320)&gt;=0,0,-BB321-SUM($BD$12:BD320))</f>
        <v>#DIV/0!</v>
      </c>
      <c r="BE321" s="235" t="e">
        <f>BB321+SUM($BD$12:BD321)</f>
        <v>#DIV/0!</v>
      </c>
      <c r="BF321" s="292" t="e">
        <f>-MIN(BE321:$BE$501)-SUM(BF$12:$BF320)</f>
        <v>#DIV/0!</v>
      </c>
      <c r="BG321" s="235" t="e">
        <f t="shared" si="231"/>
        <v>#DIV/0!</v>
      </c>
    </row>
    <row r="322" spans="2:59">
      <c r="B322" s="246">
        <v>309</v>
      </c>
      <c r="C322" s="241">
        <f t="shared" si="230"/>
        <v>52083</v>
      </c>
      <c r="D322" s="229">
        <f t="shared" si="232"/>
        <v>8</v>
      </c>
      <c r="E322" s="230" t="str">
        <f t="shared" si="233"/>
        <v>-</v>
      </c>
      <c r="F322" s="231">
        <f t="shared" si="234"/>
        <v>0</v>
      </c>
      <c r="G322" s="231">
        <f t="shared" si="235"/>
        <v>0</v>
      </c>
      <c r="H322" s="231">
        <f t="shared" si="236"/>
        <v>0</v>
      </c>
      <c r="I322" s="268">
        <f t="shared" si="221"/>
        <v>0</v>
      </c>
      <c r="J322" s="269">
        <f t="shared" si="237"/>
        <v>0</v>
      </c>
      <c r="K322" s="269">
        <f t="shared" si="238"/>
        <v>0</v>
      </c>
      <c r="L322" s="269">
        <f t="shared" si="222"/>
        <v>0</v>
      </c>
      <c r="M322" s="269">
        <f t="shared" si="223"/>
        <v>0</v>
      </c>
      <c r="N322" s="233">
        <f>VLOOKUP(B322,Dados!$L$86:$P$90,5)</f>
        <v>0</v>
      </c>
      <c r="O322" s="270">
        <f t="shared" si="239"/>
        <v>0.99999999999999989</v>
      </c>
      <c r="P322" s="269">
        <f t="shared" si="240"/>
        <v>0</v>
      </c>
      <c r="Q322" s="269" t="e">
        <f t="shared" si="241"/>
        <v>#DIV/0!</v>
      </c>
      <c r="R322" s="269">
        <f t="shared" si="242"/>
        <v>0</v>
      </c>
      <c r="S322" s="269" t="e">
        <f t="shared" si="243"/>
        <v>#DIV/0!</v>
      </c>
      <c r="T322" s="269" t="e">
        <f t="shared" si="229"/>
        <v>#DIV/0!</v>
      </c>
      <c r="U322" s="234">
        <f t="shared" si="244"/>
        <v>0</v>
      </c>
      <c r="V322" s="232" t="e">
        <f t="shared" si="245"/>
        <v>#DIV/0!</v>
      </c>
      <c r="W322" s="269" t="e">
        <f t="shared" si="246"/>
        <v>#DIV/0!</v>
      </c>
      <c r="X322" s="235">
        <f t="shared" si="224"/>
        <v>0</v>
      </c>
      <c r="Y322" s="236">
        <f t="shared" si="247"/>
        <v>5</v>
      </c>
      <c r="Z322" s="236" t="e">
        <f t="shared" si="248"/>
        <v>#DIV/0!</v>
      </c>
      <c r="AA322" s="236">
        <f t="shared" si="249"/>
        <v>3</v>
      </c>
      <c r="AB322" s="236" t="e">
        <f t="shared" si="250"/>
        <v>#DIV/0!</v>
      </c>
      <c r="AC322" s="235">
        <f t="shared" si="251"/>
        <v>0</v>
      </c>
      <c r="AD322" s="235">
        <f t="shared" si="252"/>
        <v>0</v>
      </c>
      <c r="AE322" s="279">
        <f t="shared" si="253"/>
        <v>0</v>
      </c>
      <c r="AF322" s="232">
        <f t="shared" si="254"/>
        <v>0</v>
      </c>
      <c r="AG322" s="235">
        <f t="shared" si="255"/>
        <v>0</v>
      </c>
      <c r="AH322" s="269">
        <f t="shared" si="256"/>
        <v>0</v>
      </c>
      <c r="AI322" s="232">
        <f t="shared" si="257"/>
        <v>0</v>
      </c>
      <c r="AJ322" s="235">
        <f t="shared" si="258"/>
        <v>0</v>
      </c>
      <c r="AK322" s="269">
        <f t="shared" si="259"/>
        <v>0</v>
      </c>
      <c r="AL322" s="269">
        <f t="shared" si="225"/>
        <v>0</v>
      </c>
      <c r="AM322" s="281" t="e">
        <f>IF(B322&gt;=mpfo,pos*vvm*Dados!$E$122*(ntudv-SUM(U$301:$U323))-SUM($AM$13:AM321),0)</f>
        <v>#DIV/0!</v>
      </c>
      <c r="AN322" s="269" t="e">
        <f t="shared" si="260"/>
        <v>#DIV/0!</v>
      </c>
      <c r="AO322" s="232" t="e">
        <f t="shared" si="261"/>
        <v>#DIV/0!</v>
      </c>
      <c r="AP322" s="242" t="e">
        <f t="shared" si="262"/>
        <v>#DIV/0!</v>
      </c>
      <c r="AQ322" s="235" t="e">
        <f>IF(AP322+SUM($AQ$12:AQ321)&gt;=0,0,-AP322-SUM($AQ$12:AQ321))</f>
        <v>#DIV/0!</v>
      </c>
      <c r="AR322" s="235">
        <f>IF(SUM($N$13:N321)&gt;=pmo,IF(SUM(N321:$N$501)&gt;(1-pmo),B322,0),0)</f>
        <v>0</v>
      </c>
      <c r="AS322" s="235" t="e">
        <f>IF((SUM($U$13:$U321)/ntudv)&gt;=pmv,IF((SUM($U321:$U$501)/ntudv)&gt;(1-pmv),B322,0),0)</f>
        <v>#DIV/0!</v>
      </c>
      <c r="AT322" s="237" t="e">
        <f>IF(MAX(mmo,mmv)=mmo,IF(B322=AR322,(SUM(N$13:$N321)-pmo)/((1-VLOOKUP(MAX(mmo,mmv)-1,$B$13:$O$501,14))+(VLOOKUP(MAX(mmo,mmv)-1,$B$13:$O$501,14)-pmo)),N321/((1-VLOOKUP(MAX(mmo,mmv)-1,$B$13:$O$501,14)+(VLOOKUP(MAX(mmo,mmv)-1,$B$13:$O$501,14)-pmo)))),N321/(1-VLOOKUP(MAX(mmo,mmv)-2,$B$13:$O$501,14)))</f>
        <v>#DIV/0!</v>
      </c>
      <c r="AU322" s="101" t="e">
        <f t="shared" si="226"/>
        <v>#DIV/0!</v>
      </c>
      <c r="AV322" s="287" t="e">
        <f t="shared" si="227"/>
        <v>#DIV/0!</v>
      </c>
      <c r="AW322" s="235" t="e">
        <f t="shared" si="263"/>
        <v>#DIV/0!</v>
      </c>
      <c r="AX322" s="281">
        <f>IF(B322&gt;mpfo,0,IF(B322=mpfo,(vld-teo*(1+tcfo-incc)^(MAX(mmo,mmv)-mbfo))*-1,IF(SUM($N$13:N321)&gt;=pmo,IF(($V321/ntudv)&gt;=pmv,IF(B322=MAX(mmo,mmv),-teo*(1+tcfo-incc)^(B322-mbfo),0),0),0)))</f>
        <v>0</v>
      </c>
      <c r="AY322" s="292" t="e">
        <f t="shared" si="228"/>
        <v>#DIV/0!</v>
      </c>
      <c r="AZ322" s="235" t="e">
        <f t="shared" si="264"/>
        <v>#DIV/0!</v>
      </c>
      <c r="BA322" s="269" t="e">
        <f t="shared" si="265"/>
        <v>#DIV/0!</v>
      </c>
      <c r="BB322" s="292" t="e">
        <f t="shared" si="266"/>
        <v>#DIV/0!</v>
      </c>
      <c r="BC322" s="238" t="e">
        <f>IF(SUM($BC$13:BC321)&gt;0,0,IF(BB322&gt;0,B322,0))</f>
        <v>#DIV/0!</v>
      </c>
      <c r="BD322" s="292" t="e">
        <f>IF(BB322+SUM($BD$12:BD321)&gt;=0,0,-BB322-SUM($BD$12:BD321))</f>
        <v>#DIV/0!</v>
      </c>
      <c r="BE322" s="235" t="e">
        <f>BB322+SUM($BD$12:BD322)</f>
        <v>#DIV/0!</v>
      </c>
      <c r="BF322" s="292" t="e">
        <f>-MIN(BE322:$BE$501)-SUM(BF$12:$BF321)</f>
        <v>#DIV/0!</v>
      </c>
      <c r="BG322" s="235" t="e">
        <f t="shared" si="231"/>
        <v>#DIV/0!</v>
      </c>
    </row>
    <row r="323" spans="2:59">
      <c r="B323" s="120">
        <v>310</v>
      </c>
      <c r="C323" s="241">
        <f t="shared" si="230"/>
        <v>52114</v>
      </c>
      <c r="D323" s="229">
        <f t="shared" si="232"/>
        <v>9</v>
      </c>
      <c r="E323" s="230" t="str">
        <f t="shared" si="233"/>
        <v>-</v>
      </c>
      <c r="F323" s="231">
        <f t="shared" si="234"/>
        <v>0</v>
      </c>
      <c r="G323" s="231">
        <f t="shared" si="235"/>
        <v>0</v>
      </c>
      <c r="H323" s="231">
        <f t="shared" si="236"/>
        <v>0</v>
      </c>
      <c r="I323" s="268">
        <f t="shared" si="221"/>
        <v>0</v>
      </c>
      <c r="J323" s="269">
        <f t="shared" si="237"/>
        <v>0</v>
      </c>
      <c r="K323" s="269">
        <f t="shared" si="238"/>
        <v>0</v>
      </c>
      <c r="L323" s="269">
        <f t="shared" si="222"/>
        <v>0</v>
      </c>
      <c r="M323" s="269">
        <f t="shared" si="223"/>
        <v>0</v>
      </c>
      <c r="N323" s="233">
        <f>VLOOKUP(B323,Dados!$L$86:$P$90,5)</f>
        <v>0</v>
      </c>
      <c r="O323" s="270">
        <f t="shared" si="239"/>
        <v>0.99999999999999989</v>
      </c>
      <c r="P323" s="269">
        <f t="shared" si="240"/>
        <v>0</v>
      </c>
      <c r="Q323" s="269" t="e">
        <f t="shared" si="241"/>
        <v>#DIV/0!</v>
      </c>
      <c r="R323" s="269">
        <f t="shared" si="242"/>
        <v>0</v>
      </c>
      <c r="S323" s="269" t="e">
        <f t="shared" si="243"/>
        <v>#DIV/0!</v>
      </c>
      <c r="T323" s="269" t="e">
        <f t="shared" si="229"/>
        <v>#DIV/0!</v>
      </c>
      <c r="U323" s="234">
        <f t="shared" si="244"/>
        <v>0</v>
      </c>
      <c r="V323" s="232" t="e">
        <f t="shared" si="245"/>
        <v>#DIV/0!</v>
      </c>
      <c r="W323" s="269" t="e">
        <f t="shared" si="246"/>
        <v>#DIV/0!</v>
      </c>
      <c r="X323" s="235">
        <f t="shared" si="224"/>
        <v>0</v>
      </c>
      <c r="Y323" s="236">
        <f t="shared" si="247"/>
        <v>5</v>
      </c>
      <c r="Z323" s="236" t="e">
        <f t="shared" si="248"/>
        <v>#DIV/0!</v>
      </c>
      <c r="AA323" s="236">
        <f t="shared" si="249"/>
        <v>3</v>
      </c>
      <c r="AB323" s="236" t="e">
        <f t="shared" si="250"/>
        <v>#DIV/0!</v>
      </c>
      <c r="AC323" s="235">
        <f t="shared" si="251"/>
        <v>0</v>
      </c>
      <c r="AD323" s="235">
        <f t="shared" si="252"/>
        <v>0</v>
      </c>
      <c r="AE323" s="279">
        <f t="shared" si="253"/>
        <v>0</v>
      </c>
      <c r="AF323" s="232">
        <f t="shared" si="254"/>
        <v>0</v>
      </c>
      <c r="AG323" s="235">
        <f t="shared" si="255"/>
        <v>0</v>
      </c>
      <c r="AH323" s="269">
        <f t="shared" si="256"/>
        <v>0</v>
      </c>
      <c r="AI323" s="232">
        <f t="shared" si="257"/>
        <v>0</v>
      </c>
      <c r="AJ323" s="235">
        <f t="shared" si="258"/>
        <v>0</v>
      </c>
      <c r="AK323" s="269">
        <f t="shared" si="259"/>
        <v>0</v>
      </c>
      <c r="AL323" s="269">
        <f t="shared" si="225"/>
        <v>0</v>
      </c>
      <c r="AM323" s="281" t="e">
        <f>IF(B323&gt;=mpfo,pos*vvm*Dados!$E$122*(ntudv-SUM(U$301:$U324))-SUM($AM$13:AM322),0)</f>
        <v>#DIV/0!</v>
      </c>
      <c r="AN323" s="269" t="e">
        <f t="shared" si="260"/>
        <v>#DIV/0!</v>
      </c>
      <c r="AO323" s="232" t="e">
        <f t="shared" si="261"/>
        <v>#DIV/0!</v>
      </c>
      <c r="AP323" s="242" t="e">
        <f t="shared" si="262"/>
        <v>#DIV/0!</v>
      </c>
      <c r="AQ323" s="235" t="e">
        <f>IF(AP323+SUM($AQ$12:AQ322)&gt;=0,0,-AP323-SUM($AQ$12:AQ322))</f>
        <v>#DIV/0!</v>
      </c>
      <c r="AR323" s="235">
        <f>IF(SUM($N$13:N322)&gt;=pmo,IF(SUM(N322:$N$501)&gt;(1-pmo),B323,0),0)</f>
        <v>0</v>
      </c>
      <c r="AS323" s="235" t="e">
        <f>IF((SUM($U$13:$U322)/ntudv)&gt;=pmv,IF((SUM($U322:$U$501)/ntudv)&gt;(1-pmv),B323,0),0)</f>
        <v>#DIV/0!</v>
      </c>
      <c r="AT323" s="237" t="e">
        <f>IF(MAX(mmo,mmv)=mmo,IF(B323=AR323,(SUM(N$13:$N322)-pmo)/((1-VLOOKUP(MAX(mmo,mmv)-1,$B$13:$O$501,14))+(VLOOKUP(MAX(mmo,mmv)-1,$B$13:$O$501,14)-pmo)),N322/((1-VLOOKUP(MAX(mmo,mmv)-1,$B$13:$O$501,14)+(VLOOKUP(MAX(mmo,mmv)-1,$B$13:$O$501,14)-pmo)))),N322/(1-VLOOKUP(MAX(mmo,mmv)-2,$B$13:$O$501,14)))</f>
        <v>#DIV/0!</v>
      </c>
      <c r="AU323" s="101" t="e">
        <f t="shared" si="226"/>
        <v>#DIV/0!</v>
      </c>
      <c r="AV323" s="287" t="e">
        <f t="shared" si="227"/>
        <v>#DIV/0!</v>
      </c>
      <c r="AW323" s="235" t="e">
        <f t="shared" si="263"/>
        <v>#DIV/0!</v>
      </c>
      <c r="AX323" s="281">
        <f>IF(B323&gt;mpfo,0,IF(B323=mpfo,(vld-teo*(1+tcfo-incc)^(MAX(mmo,mmv)-mbfo))*-1,IF(SUM($N$13:N322)&gt;=pmo,IF(($V322/ntudv)&gt;=pmv,IF(B323=MAX(mmo,mmv),-teo*(1+tcfo-incc)^(B323-mbfo),0),0),0)))</f>
        <v>0</v>
      </c>
      <c r="AY323" s="292" t="e">
        <f t="shared" si="228"/>
        <v>#DIV/0!</v>
      </c>
      <c r="AZ323" s="235" t="e">
        <f t="shared" si="264"/>
        <v>#DIV/0!</v>
      </c>
      <c r="BA323" s="269" t="e">
        <f t="shared" si="265"/>
        <v>#DIV/0!</v>
      </c>
      <c r="BB323" s="292" t="e">
        <f t="shared" si="266"/>
        <v>#DIV/0!</v>
      </c>
      <c r="BC323" s="238" t="e">
        <f>IF(SUM($BC$13:BC322)&gt;0,0,IF(BB323&gt;0,B323,0))</f>
        <v>#DIV/0!</v>
      </c>
      <c r="BD323" s="292" t="e">
        <f>IF(BB323+SUM($BD$12:BD322)&gt;=0,0,-BB323-SUM($BD$12:BD322))</f>
        <v>#DIV/0!</v>
      </c>
      <c r="BE323" s="235" t="e">
        <f>BB323+SUM($BD$12:BD323)</f>
        <v>#DIV/0!</v>
      </c>
      <c r="BF323" s="292" t="e">
        <f>-MIN(BE323:$BE$501)-SUM(BF$12:$BF322)</f>
        <v>#DIV/0!</v>
      </c>
      <c r="BG323" s="235" t="e">
        <f t="shared" si="231"/>
        <v>#DIV/0!</v>
      </c>
    </row>
    <row r="324" spans="2:59">
      <c r="B324" s="246">
        <v>311</v>
      </c>
      <c r="C324" s="241">
        <f t="shared" si="230"/>
        <v>52144</v>
      </c>
      <c r="D324" s="229">
        <f t="shared" si="232"/>
        <v>10</v>
      </c>
      <c r="E324" s="230" t="str">
        <f t="shared" si="233"/>
        <v>-</v>
      </c>
      <c r="F324" s="231">
        <f t="shared" si="234"/>
        <v>0</v>
      </c>
      <c r="G324" s="231">
        <f t="shared" si="235"/>
        <v>0</v>
      </c>
      <c r="H324" s="231">
        <f t="shared" si="236"/>
        <v>0</v>
      </c>
      <c r="I324" s="268">
        <f t="shared" si="221"/>
        <v>0</v>
      </c>
      <c r="J324" s="269">
        <f t="shared" si="237"/>
        <v>0</v>
      </c>
      <c r="K324" s="269">
        <f t="shared" si="238"/>
        <v>0</v>
      </c>
      <c r="L324" s="269">
        <f t="shared" si="222"/>
        <v>0</v>
      </c>
      <c r="M324" s="269">
        <f t="shared" si="223"/>
        <v>0</v>
      </c>
      <c r="N324" s="233">
        <f>VLOOKUP(B324,Dados!$L$86:$P$90,5)</f>
        <v>0</v>
      </c>
      <c r="O324" s="270">
        <f t="shared" si="239"/>
        <v>0.99999999999999989</v>
      </c>
      <c r="P324" s="269">
        <f t="shared" si="240"/>
        <v>0</v>
      </c>
      <c r="Q324" s="269" t="e">
        <f t="shared" si="241"/>
        <v>#DIV/0!</v>
      </c>
      <c r="R324" s="269">
        <f t="shared" si="242"/>
        <v>0</v>
      </c>
      <c r="S324" s="269" t="e">
        <f t="shared" si="243"/>
        <v>#DIV/0!</v>
      </c>
      <c r="T324" s="269" t="e">
        <f t="shared" si="229"/>
        <v>#DIV/0!</v>
      </c>
      <c r="U324" s="234">
        <f t="shared" si="244"/>
        <v>0</v>
      </c>
      <c r="V324" s="232" t="e">
        <f t="shared" si="245"/>
        <v>#DIV/0!</v>
      </c>
      <c r="W324" s="269" t="e">
        <f t="shared" si="246"/>
        <v>#DIV/0!</v>
      </c>
      <c r="X324" s="235">
        <f t="shared" si="224"/>
        <v>0</v>
      </c>
      <c r="Y324" s="236">
        <f t="shared" si="247"/>
        <v>5</v>
      </c>
      <c r="Z324" s="236" t="e">
        <f t="shared" si="248"/>
        <v>#DIV/0!</v>
      </c>
      <c r="AA324" s="236">
        <f t="shared" si="249"/>
        <v>3</v>
      </c>
      <c r="AB324" s="236" t="e">
        <f t="shared" si="250"/>
        <v>#DIV/0!</v>
      </c>
      <c r="AC324" s="235">
        <f t="shared" si="251"/>
        <v>0</v>
      </c>
      <c r="AD324" s="235">
        <f t="shared" si="252"/>
        <v>0</v>
      </c>
      <c r="AE324" s="279">
        <f t="shared" si="253"/>
        <v>0</v>
      </c>
      <c r="AF324" s="232">
        <f t="shared" si="254"/>
        <v>0</v>
      </c>
      <c r="AG324" s="235">
        <f t="shared" si="255"/>
        <v>0</v>
      </c>
      <c r="AH324" s="269">
        <f t="shared" si="256"/>
        <v>0</v>
      </c>
      <c r="AI324" s="232">
        <f t="shared" si="257"/>
        <v>0</v>
      </c>
      <c r="AJ324" s="235">
        <f t="shared" si="258"/>
        <v>0</v>
      </c>
      <c r="AK324" s="269">
        <f t="shared" si="259"/>
        <v>0</v>
      </c>
      <c r="AL324" s="269">
        <f t="shared" si="225"/>
        <v>0</v>
      </c>
      <c r="AM324" s="281" t="e">
        <f>IF(B324&gt;=mpfo,pos*vvm*Dados!$E$122*(ntudv-SUM(U$301:$U325))-SUM($AM$13:AM323),0)</f>
        <v>#DIV/0!</v>
      </c>
      <c r="AN324" s="269" t="e">
        <f t="shared" si="260"/>
        <v>#DIV/0!</v>
      </c>
      <c r="AO324" s="232" t="e">
        <f t="shared" si="261"/>
        <v>#DIV/0!</v>
      </c>
      <c r="AP324" s="242" t="e">
        <f t="shared" si="262"/>
        <v>#DIV/0!</v>
      </c>
      <c r="AQ324" s="235" t="e">
        <f>IF(AP324+SUM($AQ$12:AQ323)&gt;=0,0,-AP324-SUM($AQ$12:AQ323))</f>
        <v>#DIV/0!</v>
      </c>
      <c r="AR324" s="235">
        <f>IF(SUM($N$13:N323)&gt;=pmo,IF(SUM(N323:$N$501)&gt;(1-pmo),B324,0),0)</f>
        <v>0</v>
      </c>
      <c r="AS324" s="235" t="e">
        <f>IF((SUM($U$13:$U323)/ntudv)&gt;=pmv,IF((SUM($U323:$U$501)/ntudv)&gt;(1-pmv),B324,0),0)</f>
        <v>#DIV/0!</v>
      </c>
      <c r="AT324" s="237" t="e">
        <f>IF(MAX(mmo,mmv)=mmo,IF(B324=AR324,(SUM(N$13:$N323)-pmo)/((1-VLOOKUP(MAX(mmo,mmv)-1,$B$13:$O$501,14))+(VLOOKUP(MAX(mmo,mmv)-1,$B$13:$O$501,14)-pmo)),N323/((1-VLOOKUP(MAX(mmo,mmv)-1,$B$13:$O$501,14)+(VLOOKUP(MAX(mmo,mmv)-1,$B$13:$O$501,14)-pmo)))),N323/(1-VLOOKUP(MAX(mmo,mmv)-2,$B$13:$O$501,14)))</f>
        <v>#DIV/0!</v>
      </c>
      <c r="AU324" s="101" t="e">
        <f t="shared" si="226"/>
        <v>#DIV/0!</v>
      </c>
      <c r="AV324" s="287" t="e">
        <f t="shared" si="227"/>
        <v>#DIV/0!</v>
      </c>
      <c r="AW324" s="235" t="e">
        <f t="shared" si="263"/>
        <v>#DIV/0!</v>
      </c>
      <c r="AX324" s="281">
        <f>IF(B324&gt;mpfo,0,IF(B324=mpfo,(vld-teo*(1+tcfo-incc)^(MAX(mmo,mmv)-mbfo))*-1,IF(SUM($N$13:N323)&gt;=pmo,IF(($V323/ntudv)&gt;=pmv,IF(B324=MAX(mmo,mmv),-teo*(1+tcfo-incc)^(B324-mbfo),0),0),0)))</f>
        <v>0</v>
      </c>
      <c r="AY324" s="292" t="e">
        <f t="shared" si="228"/>
        <v>#DIV/0!</v>
      </c>
      <c r="AZ324" s="235" t="e">
        <f t="shared" si="264"/>
        <v>#DIV/0!</v>
      </c>
      <c r="BA324" s="269" t="e">
        <f t="shared" si="265"/>
        <v>#DIV/0!</v>
      </c>
      <c r="BB324" s="292" t="e">
        <f t="shared" si="266"/>
        <v>#DIV/0!</v>
      </c>
      <c r="BC324" s="238" t="e">
        <f>IF(SUM($BC$13:BC323)&gt;0,0,IF(BB324&gt;0,B324,0))</f>
        <v>#DIV/0!</v>
      </c>
      <c r="BD324" s="292" t="e">
        <f>IF(BB324+SUM($BD$12:BD323)&gt;=0,0,-BB324-SUM($BD$12:BD323))</f>
        <v>#DIV/0!</v>
      </c>
      <c r="BE324" s="235" t="e">
        <f>BB324+SUM($BD$12:BD324)</f>
        <v>#DIV/0!</v>
      </c>
      <c r="BF324" s="292" t="e">
        <f>-MIN(BE324:$BE$501)-SUM(BF$12:$BF323)</f>
        <v>#DIV/0!</v>
      </c>
      <c r="BG324" s="235" t="e">
        <f t="shared" si="231"/>
        <v>#DIV/0!</v>
      </c>
    </row>
    <row r="325" spans="2:59">
      <c r="B325" s="120">
        <v>312</v>
      </c>
      <c r="C325" s="241">
        <f t="shared" si="230"/>
        <v>52175</v>
      </c>
      <c r="D325" s="229">
        <f t="shared" si="232"/>
        <v>11</v>
      </c>
      <c r="E325" s="230" t="str">
        <f t="shared" si="233"/>
        <v>-</v>
      </c>
      <c r="F325" s="231">
        <f t="shared" si="234"/>
        <v>0</v>
      </c>
      <c r="G325" s="231">
        <f t="shared" si="235"/>
        <v>0</v>
      </c>
      <c r="H325" s="231">
        <f t="shared" si="236"/>
        <v>0</v>
      </c>
      <c r="I325" s="268">
        <f t="shared" si="221"/>
        <v>0</v>
      </c>
      <c r="J325" s="269">
        <f t="shared" si="237"/>
        <v>0</v>
      </c>
      <c r="K325" s="269">
        <f t="shared" si="238"/>
        <v>0</v>
      </c>
      <c r="L325" s="269">
        <f t="shared" si="222"/>
        <v>0</v>
      </c>
      <c r="M325" s="269">
        <f t="shared" si="223"/>
        <v>0</v>
      </c>
      <c r="N325" s="233">
        <f>VLOOKUP(B325,Dados!$L$86:$P$90,5)</f>
        <v>0</v>
      </c>
      <c r="O325" s="270">
        <f t="shared" si="239"/>
        <v>0.99999999999999989</v>
      </c>
      <c r="P325" s="269">
        <f t="shared" si="240"/>
        <v>0</v>
      </c>
      <c r="Q325" s="269" t="e">
        <f t="shared" si="241"/>
        <v>#DIV/0!</v>
      </c>
      <c r="R325" s="269">
        <f t="shared" si="242"/>
        <v>0</v>
      </c>
      <c r="S325" s="269" t="e">
        <f t="shared" si="243"/>
        <v>#DIV/0!</v>
      </c>
      <c r="T325" s="269" t="e">
        <f t="shared" si="229"/>
        <v>#DIV/0!</v>
      </c>
      <c r="U325" s="234">
        <f t="shared" si="244"/>
        <v>0</v>
      </c>
      <c r="V325" s="232" t="e">
        <f t="shared" si="245"/>
        <v>#DIV/0!</v>
      </c>
      <c r="W325" s="269" t="e">
        <f t="shared" si="246"/>
        <v>#DIV/0!</v>
      </c>
      <c r="X325" s="235">
        <f t="shared" si="224"/>
        <v>0</v>
      </c>
      <c r="Y325" s="236">
        <f t="shared" si="247"/>
        <v>5</v>
      </c>
      <c r="Z325" s="236" t="e">
        <f t="shared" si="248"/>
        <v>#DIV/0!</v>
      </c>
      <c r="AA325" s="236">
        <f t="shared" si="249"/>
        <v>3</v>
      </c>
      <c r="AB325" s="236" t="e">
        <f t="shared" si="250"/>
        <v>#DIV/0!</v>
      </c>
      <c r="AC325" s="235">
        <f t="shared" si="251"/>
        <v>0</v>
      </c>
      <c r="AD325" s="235">
        <f t="shared" si="252"/>
        <v>0</v>
      </c>
      <c r="AE325" s="279">
        <f t="shared" si="253"/>
        <v>0</v>
      </c>
      <c r="AF325" s="232">
        <f t="shared" si="254"/>
        <v>0</v>
      </c>
      <c r="AG325" s="235">
        <f t="shared" si="255"/>
        <v>0</v>
      </c>
      <c r="AH325" s="269">
        <f t="shared" si="256"/>
        <v>0</v>
      </c>
      <c r="AI325" s="232">
        <f t="shared" si="257"/>
        <v>0</v>
      </c>
      <c r="AJ325" s="235">
        <f t="shared" si="258"/>
        <v>0</v>
      </c>
      <c r="AK325" s="269">
        <f t="shared" si="259"/>
        <v>0</v>
      </c>
      <c r="AL325" s="269">
        <f t="shared" si="225"/>
        <v>0</v>
      </c>
      <c r="AM325" s="281" t="e">
        <f>IF(B325&gt;=mpfo,pos*vvm*Dados!$E$122*(ntudv-SUM(U$301:$U326))-SUM($AM$13:AM324),0)</f>
        <v>#DIV/0!</v>
      </c>
      <c r="AN325" s="269" t="e">
        <f t="shared" si="260"/>
        <v>#DIV/0!</v>
      </c>
      <c r="AO325" s="232" t="e">
        <f t="shared" si="261"/>
        <v>#DIV/0!</v>
      </c>
      <c r="AP325" s="242" t="e">
        <f t="shared" si="262"/>
        <v>#DIV/0!</v>
      </c>
      <c r="AQ325" s="235" t="e">
        <f>IF(AP325+SUM($AQ$12:AQ324)&gt;=0,0,-AP325-SUM($AQ$12:AQ324))</f>
        <v>#DIV/0!</v>
      </c>
      <c r="AR325" s="235">
        <f>IF(SUM($N$13:N324)&gt;=pmo,IF(SUM(N324:$N$501)&gt;(1-pmo),B325,0),0)</f>
        <v>0</v>
      </c>
      <c r="AS325" s="235" t="e">
        <f>IF((SUM($U$13:$U324)/ntudv)&gt;=pmv,IF((SUM($U324:$U$501)/ntudv)&gt;(1-pmv),B325,0),0)</f>
        <v>#DIV/0!</v>
      </c>
      <c r="AT325" s="237" t="e">
        <f>IF(MAX(mmo,mmv)=mmo,IF(B325=AR325,(SUM(N$13:$N324)-pmo)/((1-VLOOKUP(MAX(mmo,mmv)-1,$B$13:$O$501,14))+(VLOOKUP(MAX(mmo,mmv)-1,$B$13:$O$501,14)-pmo)),N324/((1-VLOOKUP(MAX(mmo,mmv)-1,$B$13:$O$501,14)+(VLOOKUP(MAX(mmo,mmv)-1,$B$13:$O$501,14)-pmo)))),N324/(1-VLOOKUP(MAX(mmo,mmv)-2,$B$13:$O$501,14)))</f>
        <v>#DIV/0!</v>
      </c>
      <c r="AU325" s="101" t="e">
        <f t="shared" si="226"/>
        <v>#DIV/0!</v>
      </c>
      <c r="AV325" s="287" t="e">
        <f t="shared" si="227"/>
        <v>#DIV/0!</v>
      </c>
      <c r="AW325" s="235" t="e">
        <f t="shared" si="263"/>
        <v>#DIV/0!</v>
      </c>
      <c r="AX325" s="281">
        <f>IF(B325&gt;mpfo,0,IF(B325=mpfo,(vld-teo*(1+tcfo-incc)^(MAX(mmo,mmv)-mbfo))*-1,IF(SUM($N$13:N324)&gt;=pmo,IF(($V324/ntudv)&gt;=pmv,IF(B325=MAX(mmo,mmv),-teo*(1+tcfo-incc)^(B325-mbfo),0),0),0)))</f>
        <v>0</v>
      </c>
      <c r="AY325" s="292" t="e">
        <f t="shared" si="228"/>
        <v>#DIV/0!</v>
      </c>
      <c r="AZ325" s="235" t="e">
        <f t="shared" si="264"/>
        <v>#DIV/0!</v>
      </c>
      <c r="BA325" s="269" t="e">
        <f t="shared" si="265"/>
        <v>#DIV/0!</v>
      </c>
      <c r="BB325" s="292" t="e">
        <f t="shared" si="266"/>
        <v>#DIV/0!</v>
      </c>
      <c r="BC325" s="238" t="e">
        <f>IF(SUM($BC$13:BC324)&gt;0,0,IF(BB325&gt;0,B325,0))</f>
        <v>#DIV/0!</v>
      </c>
      <c r="BD325" s="292" t="e">
        <f>IF(BB325+SUM($BD$12:BD324)&gt;=0,0,-BB325-SUM($BD$12:BD324))</f>
        <v>#DIV/0!</v>
      </c>
      <c r="BE325" s="235" t="e">
        <f>BB325+SUM($BD$12:BD325)</f>
        <v>#DIV/0!</v>
      </c>
      <c r="BF325" s="292" t="e">
        <f>-MIN(BE325:$BE$501)-SUM(BF$12:$BF324)</f>
        <v>#DIV/0!</v>
      </c>
      <c r="BG325" s="235" t="e">
        <f t="shared" si="231"/>
        <v>#DIV/0!</v>
      </c>
    </row>
    <row r="326" spans="2:59">
      <c r="B326" s="246">
        <v>313</v>
      </c>
      <c r="C326" s="241">
        <f t="shared" si="230"/>
        <v>52205</v>
      </c>
      <c r="D326" s="229">
        <f t="shared" si="232"/>
        <v>12</v>
      </c>
      <c r="E326" s="230" t="str">
        <f t="shared" si="233"/>
        <v>-</v>
      </c>
      <c r="F326" s="231">
        <f t="shared" si="234"/>
        <v>0</v>
      </c>
      <c r="G326" s="231">
        <f t="shared" si="235"/>
        <v>0</v>
      </c>
      <c r="H326" s="231">
        <f t="shared" si="236"/>
        <v>0</v>
      </c>
      <c r="I326" s="268">
        <f t="shared" si="221"/>
        <v>0</v>
      </c>
      <c r="J326" s="269">
        <f t="shared" si="237"/>
        <v>0</v>
      </c>
      <c r="K326" s="269">
        <f t="shared" si="238"/>
        <v>0</v>
      </c>
      <c r="L326" s="269">
        <f t="shared" si="222"/>
        <v>0</v>
      </c>
      <c r="M326" s="269">
        <f t="shared" si="223"/>
        <v>0</v>
      </c>
      <c r="N326" s="233">
        <f>VLOOKUP(B326,Dados!$L$86:$P$90,5)</f>
        <v>0</v>
      </c>
      <c r="O326" s="270">
        <f t="shared" si="239"/>
        <v>0.99999999999999989</v>
      </c>
      <c r="P326" s="269">
        <f t="shared" si="240"/>
        <v>0</v>
      </c>
      <c r="Q326" s="269" t="e">
        <f t="shared" si="241"/>
        <v>#DIV/0!</v>
      </c>
      <c r="R326" s="269">
        <f t="shared" si="242"/>
        <v>0</v>
      </c>
      <c r="S326" s="269" t="e">
        <f t="shared" si="243"/>
        <v>#DIV/0!</v>
      </c>
      <c r="T326" s="269" t="e">
        <f t="shared" si="229"/>
        <v>#DIV/0!</v>
      </c>
      <c r="U326" s="234">
        <f t="shared" si="244"/>
        <v>0</v>
      </c>
      <c r="V326" s="232" t="e">
        <f t="shared" si="245"/>
        <v>#DIV/0!</v>
      </c>
      <c r="W326" s="269" t="e">
        <f t="shared" si="246"/>
        <v>#DIV/0!</v>
      </c>
      <c r="X326" s="235">
        <f t="shared" si="224"/>
        <v>0</v>
      </c>
      <c r="Y326" s="236">
        <f t="shared" si="247"/>
        <v>5</v>
      </c>
      <c r="Z326" s="236" t="e">
        <f t="shared" si="248"/>
        <v>#DIV/0!</v>
      </c>
      <c r="AA326" s="236">
        <f t="shared" si="249"/>
        <v>3</v>
      </c>
      <c r="AB326" s="236" t="e">
        <f t="shared" si="250"/>
        <v>#DIV/0!</v>
      </c>
      <c r="AC326" s="235">
        <f t="shared" si="251"/>
        <v>0</v>
      </c>
      <c r="AD326" s="235">
        <f t="shared" si="252"/>
        <v>0</v>
      </c>
      <c r="AE326" s="279">
        <f t="shared" si="253"/>
        <v>0</v>
      </c>
      <c r="AF326" s="232">
        <f t="shared" si="254"/>
        <v>1</v>
      </c>
      <c r="AG326" s="235">
        <f t="shared" si="255"/>
        <v>0</v>
      </c>
      <c r="AH326" s="269">
        <f t="shared" si="256"/>
        <v>0</v>
      </c>
      <c r="AI326" s="232">
        <f t="shared" si="257"/>
        <v>1</v>
      </c>
      <c r="AJ326" s="235">
        <f t="shared" si="258"/>
        <v>0</v>
      </c>
      <c r="AK326" s="269">
        <f t="shared" si="259"/>
        <v>0</v>
      </c>
      <c r="AL326" s="269">
        <f t="shared" si="225"/>
        <v>0</v>
      </c>
      <c r="AM326" s="281" t="e">
        <f>IF(B326&gt;=mpfo,pos*vvm*Dados!$E$122*(ntudv-SUM(U$301:$U327))-SUM($AM$13:AM325),0)</f>
        <v>#DIV/0!</v>
      </c>
      <c r="AN326" s="269" t="e">
        <f t="shared" si="260"/>
        <v>#DIV/0!</v>
      </c>
      <c r="AO326" s="232" t="e">
        <f t="shared" si="261"/>
        <v>#DIV/0!</v>
      </c>
      <c r="AP326" s="242" t="e">
        <f t="shared" si="262"/>
        <v>#DIV/0!</v>
      </c>
      <c r="AQ326" s="235" t="e">
        <f>IF(AP326+SUM($AQ$12:AQ325)&gt;=0,0,-AP326-SUM($AQ$12:AQ325))</f>
        <v>#DIV/0!</v>
      </c>
      <c r="AR326" s="235">
        <f>IF(SUM($N$13:N325)&gt;=pmo,IF(SUM(N325:$N$501)&gt;(1-pmo),B326,0),0)</f>
        <v>0</v>
      </c>
      <c r="AS326" s="235" t="e">
        <f>IF((SUM($U$13:$U325)/ntudv)&gt;=pmv,IF((SUM($U325:$U$501)/ntudv)&gt;(1-pmv),B326,0),0)</f>
        <v>#DIV/0!</v>
      </c>
      <c r="AT326" s="237" t="e">
        <f>IF(MAX(mmo,mmv)=mmo,IF(B326=AR326,(SUM(N$13:$N325)-pmo)/((1-VLOOKUP(MAX(mmo,mmv)-1,$B$13:$O$501,14))+(VLOOKUP(MAX(mmo,mmv)-1,$B$13:$O$501,14)-pmo)),N325/((1-VLOOKUP(MAX(mmo,mmv)-1,$B$13:$O$501,14)+(VLOOKUP(MAX(mmo,mmv)-1,$B$13:$O$501,14)-pmo)))),N325/(1-VLOOKUP(MAX(mmo,mmv)-2,$B$13:$O$501,14)))</f>
        <v>#DIV/0!</v>
      </c>
      <c r="AU326" s="101" t="e">
        <f t="shared" si="226"/>
        <v>#DIV/0!</v>
      </c>
      <c r="AV326" s="287" t="e">
        <f t="shared" si="227"/>
        <v>#DIV/0!</v>
      </c>
      <c r="AW326" s="235" t="e">
        <f t="shared" si="263"/>
        <v>#DIV/0!</v>
      </c>
      <c r="AX326" s="281">
        <f>IF(B326&gt;mpfo,0,IF(B326=mpfo,(vld-teo*(1+tcfo-incc)^(MAX(mmo,mmv)-mbfo))*-1,IF(SUM($N$13:N325)&gt;=pmo,IF(($V325/ntudv)&gt;=pmv,IF(B326=MAX(mmo,mmv),-teo*(1+tcfo-incc)^(B326-mbfo),0),0),0)))</f>
        <v>0</v>
      </c>
      <c r="AY326" s="292" t="e">
        <f t="shared" si="228"/>
        <v>#DIV/0!</v>
      </c>
      <c r="AZ326" s="235" t="e">
        <f t="shared" si="264"/>
        <v>#DIV/0!</v>
      </c>
      <c r="BA326" s="269" t="e">
        <f t="shared" si="265"/>
        <v>#DIV/0!</v>
      </c>
      <c r="BB326" s="292" t="e">
        <f t="shared" si="266"/>
        <v>#DIV/0!</v>
      </c>
      <c r="BC326" s="238" t="e">
        <f>IF(SUM($BC$13:BC325)&gt;0,0,IF(BB326&gt;0,B326,0))</f>
        <v>#DIV/0!</v>
      </c>
      <c r="BD326" s="292" t="e">
        <f>IF(BB326+SUM($BD$12:BD325)&gt;=0,0,-BB326-SUM($BD$12:BD325))</f>
        <v>#DIV/0!</v>
      </c>
      <c r="BE326" s="235" t="e">
        <f>BB326+SUM($BD$12:BD326)</f>
        <v>#DIV/0!</v>
      </c>
      <c r="BF326" s="292" t="e">
        <f>-MIN(BE326:$BE$501)-SUM(BF$12:$BF325)</f>
        <v>#DIV/0!</v>
      </c>
      <c r="BG326" s="235" t="e">
        <f t="shared" si="231"/>
        <v>#DIV/0!</v>
      </c>
    </row>
    <row r="327" spans="2:59">
      <c r="B327" s="120">
        <v>314</v>
      </c>
      <c r="C327" s="241">
        <f t="shared" si="230"/>
        <v>52236</v>
      </c>
      <c r="D327" s="229">
        <f t="shared" si="232"/>
        <v>1</v>
      </c>
      <c r="E327" s="230" t="str">
        <f t="shared" si="233"/>
        <v>-</v>
      </c>
      <c r="F327" s="231">
        <f t="shared" si="234"/>
        <v>0</v>
      </c>
      <c r="G327" s="231">
        <f t="shared" si="235"/>
        <v>0</v>
      </c>
      <c r="H327" s="231">
        <f t="shared" si="236"/>
        <v>0</v>
      </c>
      <c r="I327" s="268">
        <f t="shared" si="221"/>
        <v>0</v>
      </c>
      <c r="J327" s="269">
        <f t="shared" si="237"/>
        <v>0</v>
      </c>
      <c r="K327" s="269">
        <f t="shared" si="238"/>
        <v>0</v>
      </c>
      <c r="L327" s="269">
        <f t="shared" si="222"/>
        <v>0</v>
      </c>
      <c r="M327" s="269">
        <f t="shared" si="223"/>
        <v>0</v>
      </c>
      <c r="N327" s="233">
        <f>VLOOKUP(B327,Dados!$L$86:$P$90,5)</f>
        <v>0</v>
      </c>
      <c r="O327" s="270">
        <f t="shared" si="239"/>
        <v>0.99999999999999989</v>
      </c>
      <c r="P327" s="269">
        <f t="shared" si="240"/>
        <v>0</v>
      </c>
      <c r="Q327" s="269" t="e">
        <f t="shared" si="241"/>
        <v>#DIV/0!</v>
      </c>
      <c r="R327" s="269">
        <f t="shared" si="242"/>
        <v>0</v>
      </c>
      <c r="S327" s="269" t="e">
        <f t="shared" si="243"/>
        <v>#DIV/0!</v>
      </c>
      <c r="T327" s="269" t="e">
        <f t="shared" si="229"/>
        <v>#DIV/0!</v>
      </c>
      <c r="U327" s="234">
        <f t="shared" si="244"/>
        <v>0</v>
      </c>
      <c r="V327" s="232" t="e">
        <f t="shared" si="245"/>
        <v>#DIV/0!</v>
      </c>
      <c r="W327" s="269" t="e">
        <f t="shared" si="246"/>
        <v>#DIV/0!</v>
      </c>
      <c r="X327" s="235">
        <f t="shared" si="224"/>
        <v>0</v>
      </c>
      <c r="Y327" s="236">
        <f t="shared" si="247"/>
        <v>5</v>
      </c>
      <c r="Z327" s="236" t="e">
        <f t="shared" si="248"/>
        <v>#DIV/0!</v>
      </c>
      <c r="AA327" s="236">
        <f t="shared" si="249"/>
        <v>3</v>
      </c>
      <c r="AB327" s="236" t="e">
        <f t="shared" si="250"/>
        <v>#DIV/0!</v>
      </c>
      <c r="AC327" s="235">
        <f t="shared" si="251"/>
        <v>0</v>
      </c>
      <c r="AD327" s="235">
        <f t="shared" si="252"/>
        <v>0</v>
      </c>
      <c r="AE327" s="279">
        <f t="shared" si="253"/>
        <v>0</v>
      </c>
      <c r="AF327" s="232">
        <f t="shared" si="254"/>
        <v>0</v>
      </c>
      <c r="AG327" s="235">
        <f t="shared" si="255"/>
        <v>0</v>
      </c>
      <c r="AH327" s="269">
        <f t="shared" si="256"/>
        <v>0</v>
      </c>
      <c r="AI327" s="232">
        <f t="shared" si="257"/>
        <v>0</v>
      </c>
      <c r="AJ327" s="235">
        <f t="shared" si="258"/>
        <v>0</v>
      </c>
      <c r="AK327" s="269">
        <f t="shared" si="259"/>
        <v>0</v>
      </c>
      <c r="AL327" s="269">
        <f t="shared" si="225"/>
        <v>0</v>
      </c>
      <c r="AM327" s="281" t="e">
        <f>IF(B327&gt;=mpfo,pos*vvm*Dados!$E$122*(ntudv-SUM(U$301:$U328))-SUM($AM$13:AM326),0)</f>
        <v>#DIV/0!</v>
      </c>
      <c r="AN327" s="269" t="e">
        <f t="shared" si="260"/>
        <v>#DIV/0!</v>
      </c>
      <c r="AO327" s="232" t="e">
        <f t="shared" si="261"/>
        <v>#DIV/0!</v>
      </c>
      <c r="AP327" s="242" t="e">
        <f t="shared" si="262"/>
        <v>#DIV/0!</v>
      </c>
      <c r="AQ327" s="235" t="e">
        <f>IF(AP327+SUM($AQ$12:AQ326)&gt;=0,0,-AP327-SUM($AQ$12:AQ326))</f>
        <v>#DIV/0!</v>
      </c>
      <c r="AR327" s="235">
        <f>IF(SUM($N$13:N326)&gt;=pmo,IF(SUM(N326:$N$501)&gt;(1-pmo),B327,0),0)</f>
        <v>0</v>
      </c>
      <c r="AS327" s="235" t="e">
        <f>IF((SUM($U$13:$U326)/ntudv)&gt;=pmv,IF((SUM($U326:$U$501)/ntudv)&gt;(1-pmv),B327,0),0)</f>
        <v>#DIV/0!</v>
      </c>
      <c r="AT327" s="237" t="e">
        <f>IF(MAX(mmo,mmv)=mmo,IF(B327=AR327,(SUM(N$13:$N326)-pmo)/((1-VLOOKUP(MAX(mmo,mmv)-1,$B$13:$O$501,14))+(VLOOKUP(MAX(mmo,mmv)-1,$B$13:$O$501,14)-pmo)),N326/((1-VLOOKUP(MAX(mmo,mmv)-1,$B$13:$O$501,14)+(VLOOKUP(MAX(mmo,mmv)-1,$B$13:$O$501,14)-pmo)))),N326/(1-VLOOKUP(MAX(mmo,mmv)-2,$B$13:$O$501,14)))</f>
        <v>#DIV/0!</v>
      </c>
      <c r="AU327" s="101" t="e">
        <f t="shared" si="226"/>
        <v>#DIV/0!</v>
      </c>
      <c r="AV327" s="287" t="e">
        <f t="shared" si="227"/>
        <v>#DIV/0!</v>
      </c>
      <c r="AW327" s="235" t="e">
        <f t="shared" si="263"/>
        <v>#DIV/0!</v>
      </c>
      <c r="AX327" s="281">
        <f>IF(B327&gt;mpfo,0,IF(B327=mpfo,(vld-teo*(1+tcfo-incc)^(MAX(mmo,mmv)-mbfo))*-1,IF(SUM($N$13:N326)&gt;=pmo,IF(($V326/ntudv)&gt;=pmv,IF(B327=MAX(mmo,mmv),-teo*(1+tcfo-incc)^(B327-mbfo),0),0),0)))</f>
        <v>0</v>
      </c>
      <c r="AY327" s="292" t="e">
        <f t="shared" si="228"/>
        <v>#DIV/0!</v>
      </c>
      <c r="AZ327" s="235" t="e">
        <f t="shared" si="264"/>
        <v>#DIV/0!</v>
      </c>
      <c r="BA327" s="269" t="e">
        <f t="shared" si="265"/>
        <v>#DIV/0!</v>
      </c>
      <c r="BB327" s="292" t="e">
        <f t="shared" si="266"/>
        <v>#DIV/0!</v>
      </c>
      <c r="BC327" s="238" t="e">
        <f>IF(SUM($BC$13:BC326)&gt;0,0,IF(BB327&gt;0,B327,0))</f>
        <v>#DIV/0!</v>
      </c>
      <c r="BD327" s="292" t="e">
        <f>IF(BB327+SUM($BD$12:BD326)&gt;=0,0,-BB327-SUM($BD$12:BD326))</f>
        <v>#DIV/0!</v>
      </c>
      <c r="BE327" s="235" t="e">
        <f>BB327+SUM($BD$12:BD327)</f>
        <v>#DIV/0!</v>
      </c>
      <c r="BF327" s="292" t="e">
        <f>-MIN(BE327:$BE$501)-SUM(BF$12:$BF326)</f>
        <v>#DIV/0!</v>
      </c>
      <c r="BG327" s="235" t="e">
        <f t="shared" si="231"/>
        <v>#DIV/0!</v>
      </c>
    </row>
    <row r="328" spans="2:59">
      <c r="B328" s="246">
        <v>315</v>
      </c>
      <c r="C328" s="241">
        <f t="shared" si="230"/>
        <v>52267</v>
      </c>
      <c r="D328" s="229">
        <f t="shared" si="232"/>
        <v>2</v>
      </c>
      <c r="E328" s="230" t="str">
        <f t="shared" si="233"/>
        <v>-</v>
      </c>
      <c r="F328" s="231">
        <f t="shared" si="234"/>
        <v>0</v>
      </c>
      <c r="G328" s="231">
        <f t="shared" si="235"/>
        <v>0</v>
      </c>
      <c r="H328" s="231">
        <f t="shared" si="236"/>
        <v>0</v>
      </c>
      <c r="I328" s="268">
        <f t="shared" si="221"/>
        <v>0</v>
      </c>
      <c r="J328" s="269">
        <f t="shared" si="237"/>
        <v>0</v>
      </c>
      <c r="K328" s="269">
        <f t="shared" si="238"/>
        <v>0</v>
      </c>
      <c r="L328" s="269">
        <f t="shared" si="222"/>
        <v>0</v>
      </c>
      <c r="M328" s="269">
        <f t="shared" si="223"/>
        <v>0</v>
      </c>
      <c r="N328" s="233">
        <f>VLOOKUP(B328,Dados!$L$86:$P$90,5)</f>
        <v>0</v>
      </c>
      <c r="O328" s="270">
        <f t="shared" si="239"/>
        <v>0.99999999999999989</v>
      </c>
      <c r="P328" s="269">
        <f t="shared" si="240"/>
        <v>0</v>
      </c>
      <c r="Q328" s="269" t="e">
        <f t="shared" si="241"/>
        <v>#DIV/0!</v>
      </c>
      <c r="R328" s="269">
        <f t="shared" si="242"/>
        <v>0</v>
      </c>
      <c r="S328" s="269" t="e">
        <f t="shared" si="243"/>
        <v>#DIV/0!</v>
      </c>
      <c r="T328" s="269" t="e">
        <f t="shared" si="229"/>
        <v>#DIV/0!</v>
      </c>
      <c r="U328" s="234">
        <f t="shared" si="244"/>
        <v>0</v>
      </c>
      <c r="V328" s="232" t="e">
        <f t="shared" si="245"/>
        <v>#DIV/0!</v>
      </c>
      <c r="W328" s="269" t="e">
        <f t="shared" si="246"/>
        <v>#DIV/0!</v>
      </c>
      <c r="X328" s="235">
        <f t="shared" si="224"/>
        <v>0</v>
      </c>
      <c r="Y328" s="236">
        <f t="shared" si="247"/>
        <v>5</v>
      </c>
      <c r="Z328" s="236" t="e">
        <f t="shared" si="248"/>
        <v>#DIV/0!</v>
      </c>
      <c r="AA328" s="236">
        <f t="shared" si="249"/>
        <v>3</v>
      </c>
      <c r="AB328" s="236" t="e">
        <f t="shared" si="250"/>
        <v>#DIV/0!</v>
      </c>
      <c r="AC328" s="235">
        <f t="shared" si="251"/>
        <v>0</v>
      </c>
      <c r="AD328" s="235">
        <f t="shared" si="252"/>
        <v>0</v>
      </c>
      <c r="AE328" s="279">
        <f t="shared" si="253"/>
        <v>0</v>
      </c>
      <c r="AF328" s="232">
        <f t="shared" si="254"/>
        <v>0</v>
      </c>
      <c r="AG328" s="235">
        <f t="shared" si="255"/>
        <v>0</v>
      </c>
      <c r="AH328" s="269">
        <f t="shared" si="256"/>
        <v>0</v>
      </c>
      <c r="AI328" s="232">
        <f t="shared" si="257"/>
        <v>0</v>
      </c>
      <c r="AJ328" s="235">
        <f t="shared" si="258"/>
        <v>0</v>
      </c>
      <c r="AK328" s="269">
        <f t="shared" si="259"/>
        <v>0</v>
      </c>
      <c r="AL328" s="269">
        <f t="shared" si="225"/>
        <v>0</v>
      </c>
      <c r="AM328" s="281" t="e">
        <f>IF(B328&gt;=mpfo,pos*vvm*Dados!$E$122*(ntudv-SUM(U$301:$U329))-SUM($AM$13:AM327),0)</f>
        <v>#DIV/0!</v>
      </c>
      <c r="AN328" s="269" t="e">
        <f t="shared" si="260"/>
        <v>#DIV/0!</v>
      </c>
      <c r="AO328" s="232" t="e">
        <f t="shared" si="261"/>
        <v>#DIV/0!</v>
      </c>
      <c r="AP328" s="242" t="e">
        <f t="shared" si="262"/>
        <v>#DIV/0!</v>
      </c>
      <c r="AQ328" s="235" t="e">
        <f>IF(AP328+SUM($AQ$12:AQ327)&gt;=0,0,-AP328-SUM($AQ$12:AQ327))</f>
        <v>#DIV/0!</v>
      </c>
      <c r="AR328" s="235">
        <f>IF(SUM($N$13:N327)&gt;=pmo,IF(SUM(N327:$N$501)&gt;(1-pmo),B328,0),0)</f>
        <v>0</v>
      </c>
      <c r="AS328" s="235" t="e">
        <f>IF((SUM($U$13:$U327)/ntudv)&gt;=pmv,IF((SUM($U327:$U$501)/ntudv)&gt;(1-pmv),B328,0),0)</f>
        <v>#DIV/0!</v>
      </c>
      <c r="AT328" s="237" t="e">
        <f>IF(MAX(mmo,mmv)=mmo,IF(B328=AR328,(SUM(N$13:$N327)-pmo)/((1-VLOOKUP(MAX(mmo,mmv)-1,$B$13:$O$501,14))+(VLOOKUP(MAX(mmo,mmv)-1,$B$13:$O$501,14)-pmo)),N327/((1-VLOOKUP(MAX(mmo,mmv)-1,$B$13:$O$501,14)+(VLOOKUP(MAX(mmo,mmv)-1,$B$13:$O$501,14)-pmo)))),N327/(1-VLOOKUP(MAX(mmo,mmv)-2,$B$13:$O$501,14)))</f>
        <v>#DIV/0!</v>
      </c>
      <c r="AU328" s="101" t="e">
        <f t="shared" si="226"/>
        <v>#DIV/0!</v>
      </c>
      <c r="AV328" s="287" t="e">
        <f t="shared" si="227"/>
        <v>#DIV/0!</v>
      </c>
      <c r="AW328" s="235" t="e">
        <f t="shared" si="263"/>
        <v>#DIV/0!</v>
      </c>
      <c r="AX328" s="281">
        <f>IF(B328&gt;mpfo,0,IF(B328=mpfo,(vld-teo*(1+tcfo-incc)^(MAX(mmo,mmv)-mbfo))*-1,IF(SUM($N$13:N327)&gt;=pmo,IF(($V327/ntudv)&gt;=pmv,IF(B328=MAX(mmo,mmv),-teo*(1+tcfo-incc)^(B328-mbfo),0),0),0)))</f>
        <v>0</v>
      </c>
      <c r="AY328" s="292" t="e">
        <f t="shared" si="228"/>
        <v>#DIV/0!</v>
      </c>
      <c r="AZ328" s="235" t="e">
        <f t="shared" si="264"/>
        <v>#DIV/0!</v>
      </c>
      <c r="BA328" s="269" t="e">
        <f t="shared" si="265"/>
        <v>#DIV/0!</v>
      </c>
      <c r="BB328" s="292" t="e">
        <f t="shared" si="266"/>
        <v>#DIV/0!</v>
      </c>
      <c r="BC328" s="238" t="e">
        <f>IF(SUM($BC$13:BC327)&gt;0,0,IF(BB328&gt;0,B328,0))</f>
        <v>#DIV/0!</v>
      </c>
      <c r="BD328" s="292" t="e">
        <f>IF(BB328+SUM($BD$12:BD327)&gt;=0,0,-BB328-SUM($BD$12:BD327))</f>
        <v>#DIV/0!</v>
      </c>
      <c r="BE328" s="235" t="e">
        <f>BB328+SUM($BD$12:BD328)</f>
        <v>#DIV/0!</v>
      </c>
      <c r="BF328" s="292" t="e">
        <f>-MIN(BE328:$BE$501)-SUM(BF$12:$BF327)</f>
        <v>#DIV/0!</v>
      </c>
      <c r="BG328" s="235" t="e">
        <f t="shared" si="231"/>
        <v>#DIV/0!</v>
      </c>
    </row>
    <row r="329" spans="2:59">
      <c r="B329" s="120">
        <v>316</v>
      </c>
      <c r="C329" s="241">
        <f t="shared" si="230"/>
        <v>52295</v>
      </c>
      <c r="D329" s="229">
        <f t="shared" si="232"/>
        <v>3</v>
      </c>
      <c r="E329" s="230" t="str">
        <f t="shared" si="233"/>
        <v>-</v>
      </c>
      <c r="F329" s="231">
        <f t="shared" si="234"/>
        <v>0</v>
      </c>
      <c r="G329" s="231">
        <f t="shared" si="235"/>
        <v>0</v>
      </c>
      <c r="H329" s="231">
        <f t="shared" si="236"/>
        <v>0</v>
      </c>
      <c r="I329" s="268">
        <f t="shared" si="221"/>
        <v>0</v>
      </c>
      <c r="J329" s="269">
        <f t="shared" si="237"/>
        <v>0</v>
      </c>
      <c r="K329" s="269">
        <f t="shared" si="238"/>
        <v>0</v>
      </c>
      <c r="L329" s="269">
        <f t="shared" si="222"/>
        <v>0</v>
      </c>
      <c r="M329" s="269">
        <f t="shared" si="223"/>
        <v>0</v>
      </c>
      <c r="N329" s="233">
        <f>VLOOKUP(B329,Dados!$L$86:$P$90,5)</f>
        <v>0</v>
      </c>
      <c r="O329" s="270">
        <f t="shared" si="239"/>
        <v>0.99999999999999989</v>
      </c>
      <c r="P329" s="269">
        <f t="shared" si="240"/>
        <v>0</v>
      </c>
      <c r="Q329" s="269" t="e">
        <f t="shared" si="241"/>
        <v>#DIV/0!</v>
      </c>
      <c r="R329" s="269">
        <f t="shared" si="242"/>
        <v>0</v>
      </c>
      <c r="S329" s="269" t="e">
        <f t="shared" si="243"/>
        <v>#DIV/0!</v>
      </c>
      <c r="T329" s="269" t="e">
        <f t="shared" si="229"/>
        <v>#DIV/0!</v>
      </c>
      <c r="U329" s="234">
        <f t="shared" si="244"/>
        <v>0</v>
      </c>
      <c r="V329" s="232" t="e">
        <f t="shared" si="245"/>
        <v>#DIV/0!</v>
      </c>
      <c r="W329" s="269" t="e">
        <f t="shared" si="246"/>
        <v>#DIV/0!</v>
      </c>
      <c r="X329" s="235">
        <f t="shared" si="224"/>
        <v>0</v>
      </c>
      <c r="Y329" s="236">
        <f t="shared" si="247"/>
        <v>5</v>
      </c>
      <c r="Z329" s="236" t="e">
        <f t="shared" si="248"/>
        <v>#DIV/0!</v>
      </c>
      <c r="AA329" s="236">
        <f t="shared" si="249"/>
        <v>3</v>
      </c>
      <c r="AB329" s="236" t="e">
        <f t="shared" si="250"/>
        <v>#DIV/0!</v>
      </c>
      <c r="AC329" s="235">
        <f t="shared" si="251"/>
        <v>0</v>
      </c>
      <c r="AD329" s="235">
        <f t="shared" si="252"/>
        <v>0</v>
      </c>
      <c r="AE329" s="279">
        <f t="shared" si="253"/>
        <v>0</v>
      </c>
      <c r="AF329" s="232">
        <f t="shared" si="254"/>
        <v>0</v>
      </c>
      <c r="AG329" s="235">
        <f t="shared" si="255"/>
        <v>0</v>
      </c>
      <c r="AH329" s="269">
        <f t="shared" si="256"/>
        <v>0</v>
      </c>
      <c r="AI329" s="232">
        <f t="shared" si="257"/>
        <v>0</v>
      </c>
      <c r="AJ329" s="235">
        <f t="shared" si="258"/>
        <v>0</v>
      </c>
      <c r="AK329" s="269">
        <f t="shared" si="259"/>
        <v>0</v>
      </c>
      <c r="AL329" s="269">
        <f t="shared" si="225"/>
        <v>0</v>
      </c>
      <c r="AM329" s="281" t="e">
        <f>IF(B329&gt;=mpfo,pos*vvm*Dados!$E$122*(ntudv-SUM(U$301:$U330))-SUM($AM$13:AM328),0)</f>
        <v>#DIV/0!</v>
      </c>
      <c r="AN329" s="269" t="e">
        <f t="shared" si="260"/>
        <v>#DIV/0!</v>
      </c>
      <c r="AO329" s="232" t="e">
        <f t="shared" si="261"/>
        <v>#DIV/0!</v>
      </c>
      <c r="AP329" s="242" t="e">
        <f t="shared" si="262"/>
        <v>#DIV/0!</v>
      </c>
      <c r="AQ329" s="235" t="e">
        <f>IF(AP329+SUM($AQ$12:AQ328)&gt;=0,0,-AP329-SUM($AQ$12:AQ328))</f>
        <v>#DIV/0!</v>
      </c>
      <c r="AR329" s="235">
        <f>IF(SUM($N$13:N328)&gt;=pmo,IF(SUM(N328:$N$501)&gt;(1-pmo),B329,0),0)</f>
        <v>0</v>
      </c>
      <c r="AS329" s="235" t="e">
        <f>IF((SUM($U$13:$U328)/ntudv)&gt;=pmv,IF((SUM($U328:$U$501)/ntudv)&gt;(1-pmv),B329,0),0)</f>
        <v>#DIV/0!</v>
      </c>
      <c r="AT329" s="237" t="e">
        <f>IF(MAX(mmo,mmv)=mmo,IF(B329=AR329,(SUM(N$13:$N328)-pmo)/((1-VLOOKUP(MAX(mmo,mmv)-1,$B$13:$O$501,14))+(VLOOKUP(MAX(mmo,mmv)-1,$B$13:$O$501,14)-pmo)),N328/((1-VLOOKUP(MAX(mmo,mmv)-1,$B$13:$O$501,14)+(VLOOKUP(MAX(mmo,mmv)-1,$B$13:$O$501,14)-pmo)))),N328/(1-VLOOKUP(MAX(mmo,mmv)-2,$B$13:$O$501,14)))</f>
        <v>#DIV/0!</v>
      </c>
      <c r="AU329" s="101" t="e">
        <f t="shared" si="226"/>
        <v>#DIV/0!</v>
      </c>
      <c r="AV329" s="287" t="e">
        <f t="shared" si="227"/>
        <v>#DIV/0!</v>
      </c>
      <c r="AW329" s="235" t="e">
        <f t="shared" si="263"/>
        <v>#DIV/0!</v>
      </c>
      <c r="AX329" s="281">
        <f>IF(B329&gt;mpfo,0,IF(B329=mpfo,(vld-teo*(1+tcfo-incc)^(MAX(mmo,mmv)-mbfo))*-1,IF(SUM($N$13:N328)&gt;=pmo,IF(($V328/ntudv)&gt;=pmv,IF(B329=MAX(mmo,mmv),-teo*(1+tcfo-incc)^(B329-mbfo),0),0),0)))</f>
        <v>0</v>
      </c>
      <c r="AY329" s="292" t="e">
        <f t="shared" si="228"/>
        <v>#DIV/0!</v>
      </c>
      <c r="AZ329" s="235" t="e">
        <f t="shared" si="264"/>
        <v>#DIV/0!</v>
      </c>
      <c r="BA329" s="269" t="e">
        <f t="shared" si="265"/>
        <v>#DIV/0!</v>
      </c>
      <c r="BB329" s="292" t="e">
        <f t="shared" si="266"/>
        <v>#DIV/0!</v>
      </c>
      <c r="BC329" s="238" t="e">
        <f>IF(SUM($BC$13:BC328)&gt;0,0,IF(BB329&gt;0,B329,0))</f>
        <v>#DIV/0!</v>
      </c>
      <c r="BD329" s="292" t="e">
        <f>IF(BB329+SUM($BD$12:BD328)&gt;=0,0,-BB329-SUM($BD$12:BD328))</f>
        <v>#DIV/0!</v>
      </c>
      <c r="BE329" s="235" t="e">
        <f>BB329+SUM($BD$12:BD329)</f>
        <v>#DIV/0!</v>
      </c>
      <c r="BF329" s="292" t="e">
        <f>-MIN(BE329:$BE$501)-SUM(BF$12:$BF328)</f>
        <v>#DIV/0!</v>
      </c>
      <c r="BG329" s="235" t="e">
        <f t="shared" si="231"/>
        <v>#DIV/0!</v>
      </c>
    </row>
    <row r="330" spans="2:59">
      <c r="B330" s="246">
        <v>317</v>
      </c>
      <c r="C330" s="241">
        <f t="shared" si="230"/>
        <v>52326</v>
      </c>
      <c r="D330" s="229">
        <f t="shared" si="232"/>
        <v>4</v>
      </c>
      <c r="E330" s="230" t="str">
        <f t="shared" si="233"/>
        <v>-</v>
      </c>
      <c r="F330" s="231">
        <f t="shared" si="234"/>
        <v>0</v>
      </c>
      <c r="G330" s="231">
        <f t="shared" si="235"/>
        <v>0</v>
      </c>
      <c r="H330" s="231">
        <f t="shared" si="236"/>
        <v>0</v>
      </c>
      <c r="I330" s="268">
        <f t="shared" si="221"/>
        <v>0</v>
      </c>
      <c r="J330" s="269">
        <f t="shared" si="237"/>
        <v>0</v>
      </c>
      <c r="K330" s="269">
        <f t="shared" si="238"/>
        <v>0</v>
      </c>
      <c r="L330" s="269">
        <f t="shared" si="222"/>
        <v>0</v>
      </c>
      <c r="M330" s="269">
        <f t="shared" si="223"/>
        <v>0</v>
      </c>
      <c r="N330" s="233">
        <f>VLOOKUP(B330,Dados!$L$86:$P$90,5)</f>
        <v>0</v>
      </c>
      <c r="O330" s="270">
        <f t="shared" si="239"/>
        <v>0.99999999999999989</v>
      </c>
      <c r="P330" s="269">
        <f t="shared" si="240"/>
        <v>0</v>
      </c>
      <c r="Q330" s="269" t="e">
        <f t="shared" si="241"/>
        <v>#DIV/0!</v>
      </c>
      <c r="R330" s="269">
        <f t="shared" si="242"/>
        <v>0</v>
      </c>
      <c r="S330" s="269" t="e">
        <f t="shared" si="243"/>
        <v>#DIV/0!</v>
      </c>
      <c r="T330" s="269" t="e">
        <f t="shared" si="229"/>
        <v>#DIV/0!</v>
      </c>
      <c r="U330" s="234">
        <f t="shared" si="244"/>
        <v>0</v>
      </c>
      <c r="V330" s="232" t="e">
        <f t="shared" si="245"/>
        <v>#DIV/0!</v>
      </c>
      <c r="W330" s="269" t="e">
        <f t="shared" si="246"/>
        <v>#DIV/0!</v>
      </c>
      <c r="X330" s="235">
        <f t="shared" si="224"/>
        <v>0</v>
      </c>
      <c r="Y330" s="236">
        <f t="shared" si="247"/>
        <v>5</v>
      </c>
      <c r="Z330" s="236" t="e">
        <f t="shared" si="248"/>
        <v>#DIV/0!</v>
      </c>
      <c r="AA330" s="236">
        <f t="shared" si="249"/>
        <v>3</v>
      </c>
      <c r="AB330" s="236" t="e">
        <f t="shared" si="250"/>
        <v>#DIV/0!</v>
      </c>
      <c r="AC330" s="235">
        <f t="shared" si="251"/>
        <v>0</v>
      </c>
      <c r="AD330" s="235">
        <f t="shared" si="252"/>
        <v>0</v>
      </c>
      <c r="AE330" s="279">
        <f t="shared" si="253"/>
        <v>0</v>
      </c>
      <c r="AF330" s="232">
        <f t="shared" si="254"/>
        <v>0</v>
      </c>
      <c r="AG330" s="235">
        <f t="shared" si="255"/>
        <v>0</v>
      </c>
      <c r="AH330" s="269">
        <f t="shared" si="256"/>
        <v>0</v>
      </c>
      <c r="AI330" s="232">
        <f t="shared" si="257"/>
        <v>0</v>
      </c>
      <c r="AJ330" s="235">
        <f t="shared" si="258"/>
        <v>0</v>
      </c>
      <c r="AK330" s="269">
        <f t="shared" si="259"/>
        <v>0</v>
      </c>
      <c r="AL330" s="269">
        <f t="shared" si="225"/>
        <v>0</v>
      </c>
      <c r="AM330" s="281" t="e">
        <f>IF(B330&gt;=mpfo,pos*vvm*Dados!$E$122*(ntudv-SUM(U$301:$U331))-SUM($AM$13:AM329),0)</f>
        <v>#DIV/0!</v>
      </c>
      <c r="AN330" s="269" t="e">
        <f t="shared" si="260"/>
        <v>#DIV/0!</v>
      </c>
      <c r="AO330" s="232" t="e">
        <f t="shared" si="261"/>
        <v>#DIV/0!</v>
      </c>
      <c r="AP330" s="242" t="e">
        <f t="shared" si="262"/>
        <v>#DIV/0!</v>
      </c>
      <c r="AQ330" s="235" t="e">
        <f>IF(AP330+SUM($AQ$12:AQ329)&gt;=0,0,-AP330-SUM($AQ$12:AQ329))</f>
        <v>#DIV/0!</v>
      </c>
      <c r="AR330" s="235">
        <f>IF(SUM($N$13:N329)&gt;=pmo,IF(SUM(N329:$N$501)&gt;(1-pmo),B330,0),0)</f>
        <v>0</v>
      </c>
      <c r="AS330" s="235" t="e">
        <f>IF((SUM($U$13:$U329)/ntudv)&gt;=pmv,IF((SUM($U329:$U$501)/ntudv)&gt;(1-pmv),B330,0),0)</f>
        <v>#DIV/0!</v>
      </c>
      <c r="AT330" s="237" t="e">
        <f>IF(MAX(mmo,mmv)=mmo,IF(B330=AR330,(SUM(N$13:$N329)-pmo)/((1-VLOOKUP(MAX(mmo,mmv)-1,$B$13:$O$501,14))+(VLOOKUP(MAX(mmo,mmv)-1,$B$13:$O$501,14)-pmo)),N329/((1-VLOOKUP(MAX(mmo,mmv)-1,$B$13:$O$501,14)+(VLOOKUP(MAX(mmo,mmv)-1,$B$13:$O$501,14)-pmo)))),N329/(1-VLOOKUP(MAX(mmo,mmv)-2,$B$13:$O$501,14)))</f>
        <v>#DIV/0!</v>
      </c>
      <c r="AU330" s="101" t="e">
        <f t="shared" si="226"/>
        <v>#DIV/0!</v>
      </c>
      <c r="AV330" s="287" t="e">
        <f t="shared" si="227"/>
        <v>#DIV/0!</v>
      </c>
      <c r="AW330" s="235" t="e">
        <f t="shared" si="263"/>
        <v>#DIV/0!</v>
      </c>
      <c r="AX330" s="281">
        <f>IF(B330&gt;mpfo,0,IF(B330=mpfo,(vld-teo*(1+tcfo-incc)^(MAX(mmo,mmv)-mbfo))*-1,IF(SUM($N$13:N329)&gt;=pmo,IF(($V329/ntudv)&gt;=pmv,IF(B330=MAX(mmo,mmv),-teo*(1+tcfo-incc)^(B330-mbfo),0),0),0)))</f>
        <v>0</v>
      </c>
      <c r="AY330" s="292" t="e">
        <f t="shared" si="228"/>
        <v>#DIV/0!</v>
      </c>
      <c r="AZ330" s="235" t="e">
        <f t="shared" si="264"/>
        <v>#DIV/0!</v>
      </c>
      <c r="BA330" s="269" t="e">
        <f t="shared" si="265"/>
        <v>#DIV/0!</v>
      </c>
      <c r="BB330" s="292" t="e">
        <f t="shared" si="266"/>
        <v>#DIV/0!</v>
      </c>
      <c r="BC330" s="238" t="e">
        <f>IF(SUM($BC$13:BC329)&gt;0,0,IF(BB330&gt;0,B330,0))</f>
        <v>#DIV/0!</v>
      </c>
      <c r="BD330" s="292" t="e">
        <f>IF(BB330+SUM($BD$12:BD329)&gt;=0,0,-BB330-SUM($BD$12:BD329))</f>
        <v>#DIV/0!</v>
      </c>
      <c r="BE330" s="235" t="e">
        <f>BB330+SUM($BD$12:BD330)</f>
        <v>#DIV/0!</v>
      </c>
      <c r="BF330" s="292" t="e">
        <f>-MIN(BE330:$BE$501)-SUM(BF$12:$BF329)</f>
        <v>#DIV/0!</v>
      </c>
      <c r="BG330" s="235" t="e">
        <f t="shared" si="231"/>
        <v>#DIV/0!</v>
      </c>
    </row>
    <row r="331" spans="2:59">
      <c r="B331" s="120">
        <v>318</v>
      </c>
      <c r="C331" s="241">
        <f t="shared" si="230"/>
        <v>52356</v>
      </c>
      <c r="D331" s="229">
        <f t="shared" si="232"/>
        <v>5</v>
      </c>
      <c r="E331" s="230" t="str">
        <f t="shared" si="233"/>
        <v>-</v>
      </c>
      <c r="F331" s="231">
        <f t="shared" si="234"/>
        <v>0</v>
      </c>
      <c r="G331" s="231">
        <f t="shared" si="235"/>
        <v>0</v>
      </c>
      <c r="H331" s="231">
        <f t="shared" si="236"/>
        <v>0</v>
      </c>
      <c r="I331" s="268">
        <f t="shared" si="221"/>
        <v>0</v>
      </c>
      <c r="J331" s="269">
        <f t="shared" si="237"/>
        <v>0</v>
      </c>
      <c r="K331" s="269">
        <f t="shared" si="238"/>
        <v>0</v>
      </c>
      <c r="L331" s="269">
        <f t="shared" si="222"/>
        <v>0</v>
      </c>
      <c r="M331" s="269">
        <f t="shared" si="223"/>
        <v>0</v>
      </c>
      <c r="N331" s="233">
        <f>VLOOKUP(B331,Dados!$L$86:$P$90,5)</f>
        <v>0</v>
      </c>
      <c r="O331" s="270">
        <f t="shared" si="239"/>
        <v>0.99999999999999989</v>
      </c>
      <c r="P331" s="269">
        <f t="shared" si="240"/>
        <v>0</v>
      </c>
      <c r="Q331" s="269" t="e">
        <f t="shared" si="241"/>
        <v>#DIV/0!</v>
      </c>
      <c r="R331" s="269">
        <f t="shared" si="242"/>
        <v>0</v>
      </c>
      <c r="S331" s="269" t="e">
        <f t="shared" si="243"/>
        <v>#DIV/0!</v>
      </c>
      <c r="T331" s="269" t="e">
        <f t="shared" si="229"/>
        <v>#DIV/0!</v>
      </c>
      <c r="U331" s="234">
        <f t="shared" si="244"/>
        <v>0</v>
      </c>
      <c r="V331" s="232" t="e">
        <f t="shared" si="245"/>
        <v>#DIV/0!</v>
      </c>
      <c r="W331" s="269" t="e">
        <f t="shared" si="246"/>
        <v>#DIV/0!</v>
      </c>
      <c r="X331" s="235">
        <f t="shared" si="224"/>
        <v>0</v>
      </c>
      <c r="Y331" s="236">
        <f t="shared" si="247"/>
        <v>5</v>
      </c>
      <c r="Z331" s="236" t="e">
        <f t="shared" si="248"/>
        <v>#DIV/0!</v>
      </c>
      <c r="AA331" s="236">
        <f t="shared" si="249"/>
        <v>3</v>
      </c>
      <c r="AB331" s="236" t="e">
        <f t="shared" si="250"/>
        <v>#DIV/0!</v>
      </c>
      <c r="AC331" s="235">
        <f t="shared" si="251"/>
        <v>0</v>
      </c>
      <c r="AD331" s="235">
        <f t="shared" si="252"/>
        <v>0</v>
      </c>
      <c r="AE331" s="279">
        <f t="shared" si="253"/>
        <v>0</v>
      </c>
      <c r="AF331" s="232">
        <f t="shared" si="254"/>
        <v>0</v>
      </c>
      <c r="AG331" s="235">
        <f t="shared" si="255"/>
        <v>0</v>
      </c>
      <c r="AH331" s="269">
        <f t="shared" si="256"/>
        <v>0</v>
      </c>
      <c r="AI331" s="232">
        <f t="shared" si="257"/>
        <v>0</v>
      </c>
      <c r="AJ331" s="235">
        <f t="shared" si="258"/>
        <v>0</v>
      </c>
      <c r="AK331" s="269">
        <f t="shared" si="259"/>
        <v>0</v>
      </c>
      <c r="AL331" s="269">
        <f t="shared" si="225"/>
        <v>0</v>
      </c>
      <c r="AM331" s="281" t="e">
        <f>IF(B331&gt;=mpfo,pos*vvm*Dados!$E$122*(ntudv-SUM(U$301:$U332))-SUM($AM$13:AM330),0)</f>
        <v>#DIV/0!</v>
      </c>
      <c r="AN331" s="269" t="e">
        <f t="shared" si="260"/>
        <v>#DIV/0!</v>
      </c>
      <c r="AO331" s="232" t="e">
        <f t="shared" si="261"/>
        <v>#DIV/0!</v>
      </c>
      <c r="AP331" s="242" t="e">
        <f t="shared" si="262"/>
        <v>#DIV/0!</v>
      </c>
      <c r="AQ331" s="235" t="e">
        <f>IF(AP331+SUM($AQ$12:AQ330)&gt;=0,0,-AP331-SUM($AQ$12:AQ330))</f>
        <v>#DIV/0!</v>
      </c>
      <c r="AR331" s="235">
        <f>IF(SUM($N$13:N330)&gt;=pmo,IF(SUM(N330:$N$501)&gt;(1-pmo),B331,0),0)</f>
        <v>0</v>
      </c>
      <c r="AS331" s="235" t="e">
        <f>IF((SUM($U$13:$U330)/ntudv)&gt;=pmv,IF((SUM($U330:$U$501)/ntudv)&gt;(1-pmv),B331,0),0)</f>
        <v>#DIV/0!</v>
      </c>
      <c r="AT331" s="237" t="e">
        <f>IF(MAX(mmo,mmv)=mmo,IF(B331=AR331,(SUM(N$13:$N330)-pmo)/((1-VLOOKUP(MAX(mmo,mmv)-1,$B$13:$O$501,14))+(VLOOKUP(MAX(mmo,mmv)-1,$B$13:$O$501,14)-pmo)),N330/((1-VLOOKUP(MAX(mmo,mmv)-1,$B$13:$O$501,14)+(VLOOKUP(MAX(mmo,mmv)-1,$B$13:$O$501,14)-pmo)))),N330/(1-VLOOKUP(MAX(mmo,mmv)-2,$B$13:$O$501,14)))</f>
        <v>#DIV/0!</v>
      </c>
      <c r="AU331" s="101" t="e">
        <f t="shared" si="226"/>
        <v>#DIV/0!</v>
      </c>
      <c r="AV331" s="287" t="e">
        <f t="shared" si="227"/>
        <v>#DIV/0!</v>
      </c>
      <c r="AW331" s="235" t="e">
        <f t="shared" si="263"/>
        <v>#DIV/0!</v>
      </c>
      <c r="AX331" s="281">
        <f>IF(B331&gt;mpfo,0,IF(B331=mpfo,(vld-teo*(1+tcfo-incc)^(MAX(mmo,mmv)-mbfo))*-1,IF(SUM($N$13:N330)&gt;=pmo,IF(($V330/ntudv)&gt;=pmv,IF(B331=MAX(mmo,mmv),-teo*(1+tcfo-incc)^(B331-mbfo),0),0),0)))</f>
        <v>0</v>
      </c>
      <c r="AY331" s="292" t="e">
        <f t="shared" si="228"/>
        <v>#DIV/0!</v>
      </c>
      <c r="AZ331" s="235" t="e">
        <f t="shared" si="264"/>
        <v>#DIV/0!</v>
      </c>
      <c r="BA331" s="269" t="e">
        <f t="shared" si="265"/>
        <v>#DIV/0!</v>
      </c>
      <c r="BB331" s="292" t="e">
        <f t="shared" si="266"/>
        <v>#DIV/0!</v>
      </c>
      <c r="BC331" s="238" t="e">
        <f>IF(SUM($BC$13:BC330)&gt;0,0,IF(BB331&gt;0,B331,0))</f>
        <v>#DIV/0!</v>
      </c>
      <c r="BD331" s="292" t="e">
        <f>IF(BB331+SUM($BD$12:BD330)&gt;=0,0,-BB331-SUM($BD$12:BD330))</f>
        <v>#DIV/0!</v>
      </c>
      <c r="BE331" s="235" t="e">
        <f>BB331+SUM($BD$12:BD331)</f>
        <v>#DIV/0!</v>
      </c>
      <c r="BF331" s="292" t="e">
        <f>-MIN(BE331:$BE$501)-SUM(BF$12:$BF330)</f>
        <v>#DIV/0!</v>
      </c>
      <c r="BG331" s="235" t="e">
        <f t="shared" si="231"/>
        <v>#DIV/0!</v>
      </c>
    </row>
    <row r="332" spans="2:59">
      <c r="B332" s="246">
        <v>319</v>
      </c>
      <c r="C332" s="241">
        <f t="shared" si="230"/>
        <v>52387</v>
      </c>
      <c r="D332" s="229">
        <f t="shared" si="232"/>
        <v>6</v>
      </c>
      <c r="E332" s="230" t="str">
        <f t="shared" si="233"/>
        <v>-</v>
      </c>
      <c r="F332" s="231">
        <f t="shared" si="234"/>
        <v>0</v>
      </c>
      <c r="G332" s="231">
        <f t="shared" si="235"/>
        <v>0</v>
      </c>
      <c r="H332" s="231">
        <f t="shared" si="236"/>
        <v>0</v>
      </c>
      <c r="I332" s="268">
        <f t="shared" si="221"/>
        <v>0</v>
      </c>
      <c r="J332" s="269">
        <f t="shared" si="237"/>
        <v>0</v>
      </c>
      <c r="K332" s="269">
        <f t="shared" si="238"/>
        <v>0</v>
      </c>
      <c r="L332" s="269">
        <f t="shared" si="222"/>
        <v>0</v>
      </c>
      <c r="M332" s="269">
        <f t="shared" si="223"/>
        <v>0</v>
      </c>
      <c r="N332" s="233">
        <f>VLOOKUP(B332,Dados!$L$86:$P$90,5)</f>
        <v>0</v>
      </c>
      <c r="O332" s="270">
        <f t="shared" si="239"/>
        <v>0.99999999999999989</v>
      </c>
      <c r="P332" s="269">
        <f t="shared" si="240"/>
        <v>0</v>
      </c>
      <c r="Q332" s="269" t="e">
        <f t="shared" si="241"/>
        <v>#DIV/0!</v>
      </c>
      <c r="R332" s="269">
        <f t="shared" si="242"/>
        <v>0</v>
      </c>
      <c r="S332" s="269" t="e">
        <f t="shared" si="243"/>
        <v>#DIV/0!</v>
      </c>
      <c r="T332" s="269" t="e">
        <f t="shared" si="229"/>
        <v>#DIV/0!</v>
      </c>
      <c r="U332" s="234">
        <f t="shared" si="244"/>
        <v>0</v>
      </c>
      <c r="V332" s="232" t="e">
        <f t="shared" si="245"/>
        <v>#DIV/0!</v>
      </c>
      <c r="W332" s="269" t="e">
        <f t="shared" si="246"/>
        <v>#DIV/0!</v>
      </c>
      <c r="X332" s="235">
        <f t="shared" si="224"/>
        <v>0</v>
      </c>
      <c r="Y332" s="236">
        <f t="shared" si="247"/>
        <v>5</v>
      </c>
      <c r="Z332" s="236" t="e">
        <f t="shared" si="248"/>
        <v>#DIV/0!</v>
      </c>
      <c r="AA332" s="236">
        <f t="shared" si="249"/>
        <v>3</v>
      </c>
      <c r="AB332" s="236" t="e">
        <f t="shared" si="250"/>
        <v>#DIV/0!</v>
      </c>
      <c r="AC332" s="235">
        <f t="shared" si="251"/>
        <v>0</v>
      </c>
      <c r="AD332" s="235">
        <f t="shared" si="252"/>
        <v>0</v>
      </c>
      <c r="AE332" s="279">
        <f t="shared" si="253"/>
        <v>0</v>
      </c>
      <c r="AF332" s="232">
        <f t="shared" si="254"/>
        <v>1</v>
      </c>
      <c r="AG332" s="235">
        <f t="shared" si="255"/>
        <v>0</v>
      </c>
      <c r="AH332" s="269">
        <f t="shared" si="256"/>
        <v>0</v>
      </c>
      <c r="AI332" s="232">
        <f t="shared" si="257"/>
        <v>0</v>
      </c>
      <c r="AJ332" s="235">
        <f t="shared" si="258"/>
        <v>0</v>
      </c>
      <c r="AK332" s="269">
        <f t="shared" si="259"/>
        <v>0</v>
      </c>
      <c r="AL332" s="269">
        <f t="shared" si="225"/>
        <v>0</v>
      </c>
      <c r="AM332" s="281" t="e">
        <f>IF(B332&gt;=mpfo,pos*vvm*Dados!$E$122*(ntudv-SUM(U$301:$U333))-SUM($AM$13:AM331),0)</f>
        <v>#DIV/0!</v>
      </c>
      <c r="AN332" s="269" t="e">
        <f t="shared" si="260"/>
        <v>#DIV/0!</v>
      </c>
      <c r="AO332" s="232" t="e">
        <f t="shared" si="261"/>
        <v>#DIV/0!</v>
      </c>
      <c r="AP332" s="242" t="e">
        <f t="shared" si="262"/>
        <v>#DIV/0!</v>
      </c>
      <c r="AQ332" s="235" t="e">
        <f>IF(AP332+SUM($AQ$12:AQ331)&gt;=0,0,-AP332-SUM($AQ$12:AQ331))</f>
        <v>#DIV/0!</v>
      </c>
      <c r="AR332" s="235">
        <f>IF(SUM($N$13:N331)&gt;=pmo,IF(SUM(N331:$N$501)&gt;(1-pmo),B332,0),0)</f>
        <v>0</v>
      </c>
      <c r="AS332" s="235" t="e">
        <f>IF((SUM($U$13:$U331)/ntudv)&gt;=pmv,IF((SUM($U331:$U$501)/ntudv)&gt;(1-pmv),B332,0),0)</f>
        <v>#DIV/0!</v>
      </c>
      <c r="AT332" s="237" t="e">
        <f>IF(MAX(mmo,mmv)=mmo,IF(B332=AR332,(SUM(N$13:$N331)-pmo)/((1-VLOOKUP(MAX(mmo,mmv)-1,$B$13:$O$501,14))+(VLOOKUP(MAX(mmo,mmv)-1,$B$13:$O$501,14)-pmo)),N331/((1-VLOOKUP(MAX(mmo,mmv)-1,$B$13:$O$501,14)+(VLOOKUP(MAX(mmo,mmv)-1,$B$13:$O$501,14)-pmo)))),N331/(1-VLOOKUP(MAX(mmo,mmv)-2,$B$13:$O$501,14)))</f>
        <v>#DIV/0!</v>
      </c>
      <c r="AU332" s="101" t="e">
        <f t="shared" si="226"/>
        <v>#DIV/0!</v>
      </c>
      <c r="AV332" s="287" t="e">
        <f t="shared" si="227"/>
        <v>#DIV/0!</v>
      </c>
      <c r="AW332" s="235" t="e">
        <f t="shared" si="263"/>
        <v>#DIV/0!</v>
      </c>
      <c r="AX332" s="281">
        <f>IF(B332&gt;mpfo,0,IF(B332=mpfo,(vld-teo*(1+tcfo-incc)^(MAX(mmo,mmv)-mbfo))*-1,IF(SUM($N$13:N331)&gt;=pmo,IF(($V331/ntudv)&gt;=pmv,IF(B332=MAX(mmo,mmv),-teo*(1+tcfo-incc)^(B332-mbfo),0),0),0)))</f>
        <v>0</v>
      </c>
      <c r="AY332" s="292" t="e">
        <f t="shared" si="228"/>
        <v>#DIV/0!</v>
      </c>
      <c r="AZ332" s="235" t="e">
        <f t="shared" si="264"/>
        <v>#DIV/0!</v>
      </c>
      <c r="BA332" s="269" t="e">
        <f t="shared" si="265"/>
        <v>#DIV/0!</v>
      </c>
      <c r="BB332" s="292" t="e">
        <f t="shared" si="266"/>
        <v>#DIV/0!</v>
      </c>
      <c r="BC332" s="238" t="e">
        <f>IF(SUM($BC$13:BC331)&gt;0,0,IF(BB332&gt;0,B332,0))</f>
        <v>#DIV/0!</v>
      </c>
      <c r="BD332" s="292" t="e">
        <f>IF(BB332+SUM($BD$12:BD331)&gt;=0,0,-BB332-SUM($BD$12:BD331))</f>
        <v>#DIV/0!</v>
      </c>
      <c r="BE332" s="235" t="e">
        <f>BB332+SUM($BD$12:BD332)</f>
        <v>#DIV/0!</v>
      </c>
      <c r="BF332" s="292" t="e">
        <f>-MIN(BE332:$BE$501)-SUM(BF$12:$BF331)</f>
        <v>#DIV/0!</v>
      </c>
      <c r="BG332" s="235" t="e">
        <f t="shared" si="231"/>
        <v>#DIV/0!</v>
      </c>
    </row>
    <row r="333" spans="2:59">
      <c r="B333" s="120">
        <v>320</v>
      </c>
      <c r="C333" s="241">
        <f t="shared" si="230"/>
        <v>52417</v>
      </c>
      <c r="D333" s="229">
        <f t="shared" si="232"/>
        <v>7</v>
      </c>
      <c r="E333" s="230" t="str">
        <f t="shared" si="233"/>
        <v>-</v>
      </c>
      <c r="F333" s="231">
        <f t="shared" si="234"/>
        <v>0</v>
      </c>
      <c r="G333" s="231">
        <f t="shared" si="235"/>
        <v>0</v>
      </c>
      <c r="H333" s="231">
        <f t="shared" si="236"/>
        <v>0</v>
      </c>
      <c r="I333" s="268">
        <f t="shared" ref="I333:I396" si="267">IF(cmt="SC",G333,IF(cmt="INCC",H333,IF(B333&gt;(mpt+npt),0,IF(B333&lt;(mpt+npt+1),IF(B333&gt;mpt,(vtd-vst)/npt,IF(B333=mpt,vst,0))))))*-1-F333+J333</f>
        <v>0</v>
      </c>
      <c r="J333" s="269">
        <f t="shared" si="237"/>
        <v>0</v>
      </c>
      <c r="K333" s="269">
        <f t="shared" si="238"/>
        <v>0</v>
      </c>
      <c r="L333" s="269">
        <f t="shared" ref="L333:L396" si="268">IF($B333&gt;mppe+npppe,0,IF($B333&lt;mppe+npppe,IF($B333&gt;=mppe,ppe*vgv/npppe,0),0))*-1</f>
        <v>0</v>
      </c>
      <c r="M333" s="269">
        <f t="shared" ref="M333:M396" si="269">IF($B333&gt;mppm+npppm,0,IF($B333&lt;mppm+npppm,IF($B333&gt;=mppm,ppm*vgv/npppm,0),0))*-1</f>
        <v>0</v>
      </c>
      <c r="N333" s="233">
        <f>VLOOKUP(B333,Dados!$L$86:$P$90,5)</f>
        <v>0</v>
      </c>
      <c r="O333" s="270">
        <f t="shared" si="239"/>
        <v>0.99999999999999989</v>
      </c>
      <c r="P333" s="269">
        <f t="shared" si="240"/>
        <v>0</v>
      </c>
      <c r="Q333" s="269" t="e">
        <f t="shared" si="241"/>
        <v>#DIV/0!</v>
      </c>
      <c r="R333" s="269">
        <f t="shared" si="242"/>
        <v>0</v>
      </c>
      <c r="S333" s="269" t="e">
        <f t="shared" si="243"/>
        <v>#DIV/0!</v>
      </c>
      <c r="T333" s="269" t="e">
        <f t="shared" si="229"/>
        <v>#DIV/0!</v>
      </c>
      <c r="U333" s="234">
        <f t="shared" si="244"/>
        <v>0</v>
      </c>
      <c r="V333" s="232" t="e">
        <f t="shared" si="245"/>
        <v>#DIV/0!</v>
      </c>
      <c r="W333" s="269" t="e">
        <f t="shared" si="246"/>
        <v>#DIV/0!</v>
      </c>
      <c r="X333" s="235">
        <f t="shared" ref="X333:X396" si="270">IF(B333-mlan&lt;0,0,IF(U333=0,0,IF(B333-mlan&gt;npm,vtpm*U333,(B333-mlan)*vvm*mdo/npm*U333)))</f>
        <v>0</v>
      </c>
      <c r="Y333" s="236">
        <f t="shared" si="247"/>
        <v>5</v>
      </c>
      <c r="Z333" s="236" t="e">
        <f t="shared" si="248"/>
        <v>#DIV/0!</v>
      </c>
      <c r="AA333" s="236">
        <f t="shared" si="249"/>
        <v>3</v>
      </c>
      <c r="AB333" s="236" t="e">
        <f t="shared" si="250"/>
        <v>#DIV/0!</v>
      </c>
      <c r="AC333" s="235">
        <f t="shared" si="251"/>
        <v>0</v>
      </c>
      <c r="AD333" s="235">
        <f t="shared" si="252"/>
        <v>0</v>
      </c>
      <c r="AE333" s="279">
        <f t="shared" si="253"/>
        <v>0</v>
      </c>
      <c r="AF333" s="232">
        <f t="shared" si="254"/>
        <v>0</v>
      </c>
      <c r="AG333" s="235">
        <f t="shared" si="255"/>
        <v>0</v>
      </c>
      <c r="AH333" s="269">
        <f t="shared" si="256"/>
        <v>0</v>
      </c>
      <c r="AI333" s="232">
        <f t="shared" si="257"/>
        <v>0</v>
      </c>
      <c r="AJ333" s="235">
        <f t="shared" si="258"/>
        <v>0</v>
      </c>
      <c r="AK333" s="269">
        <f t="shared" si="259"/>
        <v>0</v>
      </c>
      <c r="AL333" s="269">
        <f t="shared" ref="AL333:AL396" si="271">IF(B333=mec,cha*ntudv*vvm,0)</f>
        <v>0</v>
      </c>
      <c r="AM333" s="281" t="e">
        <f>IF(B333&gt;=mpfo,pos*vvm*Dados!$E$122*(ntudv-SUM(U$301:$U334))-SUM($AM$13:AM332),0)</f>
        <v>#DIV/0!</v>
      </c>
      <c r="AN333" s="269" t="e">
        <f t="shared" si="260"/>
        <v>#DIV/0!</v>
      </c>
      <c r="AO333" s="232" t="e">
        <f t="shared" si="261"/>
        <v>#DIV/0!</v>
      </c>
      <c r="AP333" s="242" t="e">
        <f t="shared" si="262"/>
        <v>#DIV/0!</v>
      </c>
      <c r="AQ333" s="235" t="e">
        <f>IF(AP333+SUM($AQ$12:AQ332)&gt;=0,0,-AP333-SUM($AQ$12:AQ332))</f>
        <v>#DIV/0!</v>
      </c>
      <c r="AR333" s="235">
        <f>IF(SUM($N$13:N332)&gt;=pmo,IF(SUM(N332:$N$501)&gt;(1-pmo),B333,0),0)</f>
        <v>0</v>
      </c>
      <c r="AS333" s="235" t="e">
        <f>IF((SUM($U$13:$U332)/ntudv)&gt;=pmv,IF((SUM($U332:$U$501)/ntudv)&gt;(1-pmv),B333,0),0)</f>
        <v>#DIV/0!</v>
      </c>
      <c r="AT333" s="237" t="e">
        <f>IF(MAX(mmo,mmv)=mmo,IF(B333=AR333,(SUM(N$13:$N332)-pmo)/((1-VLOOKUP(MAX(mmo,mmv)-1,$B$13:$O$501,14))+(VLOOKUP(MAX(mmo,mmv)-1,$B$13:$O$501,14)-pmo)),N332/((1-VLOOKUP(MAX(mmo,mmv)-1,$B$13:$O$501,14)+(VLOOKUP(MAX(mmo,mmv)-1,$B$13:$O$501,14)-pmo)))),N332/(1-VLOOKUP(MAX(mmo,mmv)-2,$B$13:$O$501,14)))</f>
        <v>#DIV/0!</v>
      </c>
      <c r="AU333" s="101" t="e">
        <f t="shared" ref="AU333:AU396" si="272">IF(B333=MAX(mmo,mmv),teo,0)*(1+tcfo-incc)^(B333-mbfo)</f>
        <v>#DIV/0!</v>
      </c>
      <c r="AV333" s="287" t="e">
        <f t="shared" ref="AV333:AV396" si="273">IF(B333&gt;=MAX(mmo,mmv),IF(B333&lt;(mco+2),(vfo-teo)*AT333,0),0)*(1+tcfo-incc)^(B333-mbfo)+AU333</f>
        <v>#DIV/0!</v>
      </c>
      <c r="AW333" s="235" t="e">
        <f t="shared" si="263"/>
        <v>#DIV/0!</v>
      </c>
      <c r="AX333" s="281">
        <f>IF(B333&gt;mpfo,0,IF(B333=mpfo,(vld-teo*(1+tcfo-incc)^(MAX(mmo,mmv)-mbfo))*-1,IF(SUM($N$13:N332)&gt;=pmo,IF(($V332/ntudv)&gt;=pmv,IF(B333=MAX(mmo,mmv),-teo*(1+tcfo-incc)^(B333-mbfo),0),0),0)))</f>
        <v>0</v>
      </c>
      <c r="AY333" s="292" t="e">
        <f t="shared" ref="AY333:AY396" si="274">IF(IF(cjfo="M",(AZ332)*jfo,IF(B333=mpfo,AW333+AX333,0))*-1&gt;0,0,IF(cjfo="M",(AZ332)*jfo,IF(B333=mpfo,AW333+AX333,0))*-1)</f>
        <v>#DIV/0!</v>
      </c>
      <c r="AZ333" s="235" t="e">
        <f t="shared" si="264"/>
        <v>#DIV/0!</v>
      </c>
      <c r="BA333" s="269" t="e">
        <f t="shared" si="265"/>
        <v>#DIV/0!</v>
      </c>
      <c r="BB333" s="292" t="e">
        <f t="shared" si="266"/>
        <v>#DIV/0!</v>
      </c>
      <c r="BC333" s="238" t="e">
        <f>IF(SUM($BC$13:BC332)&gt;0,0,IF(BB333&gt;0,B333,0))</f>
        <v>#DIV/0!</v>
      </c>
      <c r="BD333" s="292" t="e">
        <f>IF(BB333+SUM($BD$12:BD332)&gt;=0,0,-BB333-SUM($BD$12:BD332))</f>
        <v>#DIV/0!</v>
      </c>
      <c r="BE333" s="235" t="e">
        <f>BB333+SUM($BD$12:BD333)</f>
        <v>#DIV/0!</v>
      </c>
      <c r="BF333" s="292" t="e">
        <f>-MIN(BE333:$BE$501)-SUM(BF$12:$BF332)</f>
        <v>#DIV/0!</v>
      </c>
      <c r="BG333" s="235" t="e">
        <f t="shared" si="231"/>
        <v>#DIV/0!</v>
      </c>
    </row>
    <row r="334" spans="2:59">
      <c r="B334" s="246">
        <v>321</v>
      </c>
      <c r="C334" s="241">
        <f t="shared" si="230"/>
        <v>52448</v>
      </c>
      <c r="D334" s="229">
        <f t="shared" si="232"/>
        <v>8</v>
      </c>
      <c r="E334" s="230" t="str">
        <f t="shared" si="233"/>
        <v>-</v>
      </c>
      <c r="F334" s="231">
        <f t="shared" si="234"/>
        <v>0</v>
      </c>
      <c r="G334" s="231">
        <f t="shared" si="235"/>
        <v>0</v>
      </c>
      <c r="H334" s="231">
        <f t="shared" si="236"/>
        <v>0</v>
      </c>
      <c r="I334" s="268">
        <f t="shared" si="267"/>
        <v>0</v>
      </c>
      <c r="J334" s="269">
        <f t="shared" si="237"/>
        <v>0</v>
      </c>
      <c r="K334" s="269">
        <f t="shared" si="238"/>
        <v>0</v>
      </c>
      <c r="L334" s="269">
        <f t="shared" si="268"/>
        <v>0</v>
      </c>
      <c r="M334" s="269">
        <f t="shared" si="269"/>
        <v>0</v>
      </c>
      <c r="N334" s="233">
        <f>VLOOKUP(B334,Dados!$L$86:$P$90,5)</f>
        <v>0</v>
      </c>
      <c r="O334" s="270">
        <f t="shared" si="239"/>
        <v>0.99999999999999989</v>
      </c>
      <c r="P334" s="269">
        <f t="shared" si="240"/>
        <v>0</v>
      </c>
      <c r="Q334" s="269" t="e">
        <f t="shared" si="241"/>
        <v>#DIV/0!</v>
      </c>
      <c r="R334" s="269">
        <f t="shared" si="242"/>
        <v>0</v>
      </c>
      <c r="S334" s="269" t="e">
        <f t="shared" si="243"/>
        <v>#DIV/0!</v>
      </c>
      <c r="T334" s="269" t="e">
        <f t="shared" ref="T334:T397" si="275">S334+P334+M334+L334+K334+I334+R334+Q334</f>
        <v>#DIV/0!</v>
      </c>
      <c r="U334" s="234">
        <f t="shared" si="244"/>
        <v>0</v>
      </c>
      <c r="V334" s="232" t="e">
        <f t="shared" si="245"/>
        <v>#DIV/0!</v>
      </c>
      <c r="W334" s="269" t="e">
        <f t="shared" si="246"/>
        <v>#DIV/0!</v>
      </c>
      <c r="X334" s="235">
        <f t="shared" si="270"/>
        <v>0</v>
      </c>
      <c r="Y334" s="236">
        <f t="shared" si="247"/>
        <v>5</v>
      </c>
      <c r="Z334" s="236" t="e">
        <f t="shared" si="248"/>
        <v>#DIV/0!</v>
      </c>
      <c r="AA334" s="236">
        <f t="shared" si="249"/>
        <v>3</v>
      </c>
      <c r="AB334" s="236" t="e">
        <f t="shared" si="250"/>
        <v>#DIV/0!</v>
      </c>
      <c r="AC334" s="235">
        <f t="shared" si="251"/>
        <v>0</v>
      </c>
      <c r="AD334" s="235">
        <f t="shared" si="252"/>
        <v>0</v>
      </c>
      <c r="AE334" s="279">
        <f t="shared" si="253"/>
        <v>0</v>
      </c>
      <c r="AF334" s="232">
        <f t="shared" si="254"/>
        <v>0</v>
      </c>
      <c r="AG334" s="235">
        <f t="shared" si="255"/>
        <v>0</v>
      </c>
      <c r="AH334" s="269">
        <f t="shared" si="256"/>
        <v>0</v>
      </c>
      <c r="AI334" s="232">
        <f t="shared" si="257"/>
        <v>0</v>
      </c>
      <c r="AJ334" s="235">
        <f t="shared" si="258"/>
        <v>0</v>
      </c>
      <c r="AK334" s="269">
        <f t="shared" si="259"/>
        <v>0</v>
      </c>
      <c r="AL334" s="269">
        <f t="shared" si="271"/>
        <v>0</v>
      </c>
      <c r="AM334" s="281" t="e">
        <f>IF(B334&gt;=mpfo,pos*vvm*Dados!$E$122*(ntudv-SUM(U$301:$U335))-SUM($AM$13:AM333),0)</f>
        <v>#DIV/0!</v>
      </c>
      <c r="AN334" s="269" t="e">
        <f t="shared" si="260"/>
        <v>#DIV/0!</v>
      </c>
      <c r="AO334" s="232" t="e">
        <f t="shared" si="261"/>
        <v>#DIV/0!</v>
      </c>
      <c r="AP334" s="242" t="e">
        <f t="shared" si="262"/>
        <v>#DIV/0!</v>
      </c>
      <c r="AQ334" s="235" t="e">
        <f>IF(AP334+SUM($AQ$12:AQ333)&gt;=0,0,-AP334-SUM($AQ$12:AQ333))</f>
        <v>#DIV/0!</v>
      </c>
      <c r="AR334" s="235">
        <f>IF(SUM($N$13:N333)&gt;=pmo,IF(SUM(N333:$N$501)&gt;(1-pmo),B334,0),0)</f>
        <v>0</v>
      </c>
      <c r="AS334" s="235" t="e">
        <f>IF((SUM($U$13:$U333)/ntudv)&gt;=pmv,IF((SUM($U333:$U$501)/ntudv)&gt;(1-pmv),B334,0),0)</f>
        <v>#DIV/0!</v>
      </c>
      <c r="AT334" s="237" t="e">
        <f>IF(MAX(mmo,mmv)=mmo,IF(B334=AR334,(SUM(N$13:$N333)-pmo)/((1-VLOOKUP(MAX(mmo,mmv)-1,$B$13:$O$501,14))+(VLOOKUP(MAX(mmo,mmv)-1,$B$13:$O$501,14)-pmo)),N333/((1-VLOOKUP(MAX(mmo,mmv)-1,$B$13:$O$501,14)+(VLOOKUP(MAX(mmo,mmv)-1,$B$13:$O$501,14)-pmo)))),N333/(1-VLOOKUP(MAX(mmo,mmv)-2,$B$13:$O$501,14)))</f>
        <v>#DIV/0!</v>
      </c>
      <c r="AU334" s="101" t="e">
        <f t="shared" si="272"/>
        <v>#DIV/0!</v>
      </c>
      <c r="AV334" s="287" t="e">
        <f t="shared" si="273"/>
        <v>#DIV/0!</v>
      </c>
      <c r="AW334" s="235" t="e">
        <f t="shared" si="263"/>
        <v>#DIV/0!</v>
      </c>
      <c r="AX334" s="281">
        <f>IF(B334&gt;mpfo,0,IF(B334=mpfo,(vld-teo*(1+tcfo-incc)^(MAX(mmo,mmv)-mbfo))*-1,IF(SUM($N$13:N333)&gt;=pmo,IF(($V333/ntudv)&gt;=pmv,IF(B334=MAX(mmo,mmv),-teo*(1+tcfo-incc)^(B334-mbfo),0),0),0)))</f>
        <v>0</v>
      </c>
      <c r="AY334" s="292" t="e">
        <f t="shared" si="274"/>
        <v>#DIV/0!</v>
      </c>
      <c r="AZ334" s="235" t="e">
        <f t="shared" si="264"/>
        <v>#DIV/0!</v>
      </c>
      <c r="BA334" s="269" t="e">
        <f t="shared" si="265"/>
        <v>#DIV/0!</v>
      </c>
      <c r="BB334" s="292" t="e">
        <f t="shared" si="266"/>
        <v>#DIV/0!</v>
      </c>
      <c r="BC334" s="238" t="e">
        <f>IF(SUM($BC$13:BC333)&gt;0,0,IF(BB334&gt;0,B334,0))</f>
        <v>#DIV/0!</v>
      </c>
      <c r="BD334" s="292" t="e">
        <f>IF(BB334+SUM($BD$12:BD333)&gt;=0,0,-BB334-SUM($BD$12:BD333))</f>
        <v>#DIV/0!</v>
      </c>
      <c r="BE334" s="235" t="e">
        <f>BB334+SUM($BD$12:BD334)</f>
        <v>#DIV/0!</v>
      </c>
      <c r="BF334" s="292" t="e">
        <f>-MIN(BE334:$BE$501)-SUM(BF$12:$BF333)</f>
        <v>#DIV/0!</v>
      </c>
      <c r="BG334" s="235" t="e">
        <f t="shared" si="231"/>
        <v>#DIV/0!</v>
      </c>
    </row>
    <row r="335" spans="2:59">
      <c r="B335" s="120">
        <v>322</v>
      </c>
      <c r="C335" s="241">
        <f t="shared" ref="C335:C398" si="276">DATE(YEAR(C334),MONTH(C334)+1,DAY(C334))</f>
        <v>52479</v>
      </c>
      <c r="D335" s="229">
        <f t="shared" si="232"/>
        <v>9</v>
      </c>
      <c r="E335" s="230" t="str">
        <f t="shared" si="233"/>
        <v>-</v>
      </c>
      <c r="F335" s="231">
        <f t="shared" si="234"/>
        <v>0</v>
      </c>
      <c r="G335" s="231">
        <f t="shared" si="235"/>
        <v>0</v>
      </c>
      <c r="H335" s="231">
        <f t="shared" si="236"/>
        <v>0</v>
      </c>
      <c r="I335" s="268">
        <f t="shared" si="267"/>
        <v>0</v>
      </c>
      <c r="J335" s="269">
        <f t="shared" si="237"/>
        <v>0</v>
      </c>
      <c r="K335" s="269">
        <f t="shared" si="238"/>
        <v>0</v>
      </c>
      <c r="L335" s="269">
        <f t="shared" si="268"/>
        <v>0</v>
      </c>
      <c r="M335" s="269">
        <f t="shared" si="269"/>
        <v>0</v>
      </c>
      <c r="N335" s="233">
        <f>VLOOKUP(B335,Dados!$L$86:$P$90,5)</f>
        <v>0</v>
      </c>
      <c r="O335" s="270">
        <f t="shared" si="239"/>
        <v>0.99999999999999989</v>
      </c>
      <c r="P335" s="269">
        <f t="shared" si="240"/>
        <v>0</v>
      </c>
      <c r="Q335" s="269" t="e">
        <f t="shared" si="241"/>
        <v>#DIV/0!</v>
      </c>
      <c r="R335" s="269">
        <f t="shared" si="242"/>
        <v>0</v>
      </c>
      <c r="S335" s="269" t="e">
        <f t="shared" si="243"/>
        <v>#DIV/0!</v>
      </c>
      <c r="T335" s="269" t="e">
        <f t="shared" si="275"/>
        <v>#DIV/0!</v>
      </c>
      <c r="U335" s="234">
        <f t="shared" si="244"/>
        <v>0</v>
      </c>
      <c r="V335" s="232" t="e">
        <f t="shared" si="245"/>
        <v>#DIV/0!</v>
      </c>
      <c r="W335" s="269" t="e">
        <f t="shared" si="246"/>
        <v>#DIV/0!</v>
      </c>
      <c r="X335" s="235">
        <f t="shared" si="270"/>
        <v>0</v>
      </c>
      <c r="Y335" s="236">
        <f t="shared" si="247"/>
        <v>5</v>
      </c>
      <c r="Z335" s="236" t="e">
        <f t="shared" si="248"/>
        <v>#DIV/0!</v>
      </c>
      <c r="AA335" s="236">
        <f t="shared" si="249"/>
        <v>3</v>
      </c>
      <c r="AB335" s="236" t="e">
        <f t="shared" si="250"/>
        <v>#DIV/0!</v>
      </c>
      <c r="AC335" s="235">
        <f t="shared" si="251"/>
        <v>0</v>
      </c>
      <c r="AD335" s="235">
        <f t="shared" si="252"/>
        <v>0</v>
      </c>
      <c r="AE335" s="279">
        <f t="shared" si="253"/>
        <v>0</v>
      </c>
      <c r="AF335" s="232">
        <f t="shared" si="254"/>
        <v>0</v>
      </c>
      <c r="AG335" s="235">
        <f t="shared" si="255"/>
        <v>0</v>
      </c>
      <c r="AH335" s="269">
        <f t="shared" si="256"/>
        <v>0</v>
      </c>
      <c r="AI335" s="232">
        <f t="shared" si="257"/>
        <v>0</v>
      </c>
      <c r="AJ335" s="235">
        <f t="shared" si="258"/>
        <v>0</v>
      </c>
      <c r="AK335" s="269">
        <f t="shared" si="259"/>
        <v>0</v>
      </c>
      <c r="AL335" s="269">
        <f t="shared" si="271"/>
        <v>0</v>
      </c>
      <c r="AM335" s="281" t="e">
        <f>IF(B335&gt;=mpfo,pos*vvm*Dados!$E$122*(ntudv-SUM(U$301:$U336))-SUM($AM$13:AM334),0)</f>
        <v>#DIV/0!</v>
      </c>
      <c r="AN335" s="269" t="e">
        <f t="shared" si="260"/>
        <v>#DIV/0!</v>
      </c>
      <c r="AO335" s="232" t="e">
        <f t="shared" si="261"/>
        <v>#DIV/0!</v>
      </c>
      <c r="AP335" s="242" t="e">
        <f t="shared" si="262"/>
        <v>#DIV/0!</v>
      </c>
      <c r="AQ335" s="235" t="e">
        <f>IF(AP335+SUM($AQ$12:AQ334)&gt;=0,0,-AP335-SUM($AQ$12:AQ334))</f>
        <v>#DIV/0!</v>
      </c>
      <c r="AR335" s="235">
        <f>IF(SUM($N$13:N334)&gt;=pmo,IF(SUM(N334:$N$501)&gt;(1-pmo),B335,0),0)</f>
        <v>0</v>
      </c>
      <c r="AS335" s="235" t="e">
        <f>IF((SUM($U$13:$U334)/ntudv)&gt;=pmv,IF((SUM($U334:$U$501)/ntudv)&gt;(1-pmv),B335,0),0)</f>
        <v>#DIV/0!</v>
      </c>
      <c r="AT335" s="237" t="e">
        <f>IF(MAX(mmo,mmv)=mmo,IF(B335=AR335,(SUM(N$13:$N334)-pmo)/((1-VLOOKUP(MAX(mmo,mmv)-1,$B$13:$O$501,14))+(VLOOKUP(MAX(mmo,mmv)-1,$B$13:$O$501,14)-pmo)),N334/((1-VLOOKUP(MAX(mmo,mmv)-1,$B$13:$O$501,14)+(VLOOKUP(MAX(mmo,mmv)-1,$B$13:$O$501,14)-pmo)))),N334/(1-VLOOKUP(MAX(mmo,mmv)-2,$B$13:$O$501,14)))</f>
        <v>#DIV/0!</v>
      </c>
      <c r="AU335" s="101" t="e">
        <f t="shared" si="272"/>
        <v>#DIV/0!</v>
      </c>
      <c r="AV335" s="287" t="e">
        <f t="shared" si="273"/>
        <v>#DIV/0!</v>
      </c>
      <c r="AW335" s="235" t="e">
        <f t="shared" si="263"/>
        <v>#DIV/0!</v>
      </c>
      <c r="AX335" s="281">
        <f>IF(B335&gt;mpfo,0,IF(B335=mpfo,(vld-teo*(1+tcfo-incc)^(MAX(mmo,mmv)-mbfo))*-1,IF(SUM($N$13:N334)&gt;=pmo,IF(($V334/ntudv)&gt;=pmv,IF(B335=MAX(mmo,mmv),-teo*(1+tcfo-incc)^(B335-mbfo),0),0),0)))</f>
        <v>0</v>
      </c>
      <c r="AY335" s="292" t="e">
        <f t="shared" si="274"/>
        <v>#DIV/0!</v>
      </c>
      <c r="AZ335" s="235" t="e">
        <f t="shared" si="264"/>
        <v>#DIV/0!</v>
      </c>
      <c r="BA335" s="269" t="e">
        <f t="shared" si="265"/>
        <v>#DIV/0!</v>
      </c>
      <c r="BB335" s="292" t="e">
        <f t="shared" si="266"/>
        <v>#DIV/0!</v>
      </c>
      <c r="BC335" s="238" t="e">
        <f>IF(SUM($BC$13:BC334)&gt;0,0,IF(BB335&gt;0,B335,0))</f>
        <v>#DIV/0!</v>
      </c>
      <c r="BD335" s="292" t="e">
        <f>IF(BB335+SUM($BD$12:BD334)&gt;=0,0,-BB335-SUM($BD$12:BD334))</f>
        <v>#DIV/0!</v>
      </c>
      <c r="BE335" s="235" t="e">
        <f>BB335+SUM($BD$12:BD335)</f>
        <v>#DIV/0!</v>
      </c>
      <c r="BF335" s="292" t="e">
        <f>-MIN(BE335:$BE$501)-SUM(BF$12:$BF334)</f>
        <v>#DIV/0!</v>
      </c>
      <c r="BG335" s="235" t="e">
        <f t="shared" ref="BG335:BG398" si="277">BF335</f>
        <v>#DIV/0!</v>
      </c>
    </row>
    <row r="336" spans="2:59">
      <c r="B336" s="246">
        <v>323</v>
      </c>
      <c r="C336" s="241">
        <f t="shared" si="276"/>
        <v>52509</v>
      </c>
      <c r="D336" s="229">
        <f t="shared" si="232"/>
        <v>10</v>
      </c>
      <c r="E336" s="230" t="str">
        <f t="shared" si="233"/>
        <v>-</v>
      </c>
      <c r="F336" s="231">
        <f t="shared" si="234"/>
        <v>0</v>
      </c>
      <c r="G336" s="231">
        <f t="shared" si="235"/>
        <v>0</v>
      </c>
      <c r="H336" s="231">
        <f t="shared" si="236"/>
        <v>0</v>
      </c>
      <c r="I336" s="268">
        <f t="shared" si="267"/>
        <v>0</v>
      </c>
      <c r="J336" s="269">
        <f t="shared" si="237"/>
        <v>0</v>
      </c>
      <c r="K336" s="269">
        <f t="shared" si="238"/>
        <v>0</v>
      </c>
      <c r="L336" s="269">
        <f t="shared" si="268"/>
        <v>0</v>
      </c>
      <c r="M336" s="269">
        <f t="shared" si="269"/>
        <v>0</v>
      </c>
      <c r="N336" s="233">
        <f>VLOOKUP(B336,Dados!$L$86:$P$90,5)</f>
        <v>0</v>
      </c>
      <c r="O336" s="270">
        <f t="shared" si="239"/>
        <v>0.99999999999999989</v>
      </c>
      <c r="P336" s="269">
        <f t="shared" si="240"/>
        <v>0</v>
      </c>
      <c r="Q336" s="269" t="e">
        <f t="shared" si="241"/>
        <v>#DIV/0!</v>
      </c>
      <c r="R336" s="269">
        <f t="shared" si="242"/>
        <v>0</v>
      </c>
      <c r="S336" s="269" t="e">
        <f t="shared" si="243"/>
        <v>#DIV/0!</v>
      </c>
      <c r="T336" s="269" t="e">
        <f t="shared" si="275"/>
        <v>#DIV/0!</v>
      </c>
      <c r="U336" s="234">
        <f t="shared" si="244"/>
        <v>0</v>
      </c>
      <c r="V336" s="232" t="e">
        <f t="shared" si="245"/>
        <v>#DIV/0!</v>
      </c>
      <c r="W336" s="269" t="e">
        <f t="shared" si="246"/>
        <v>#DIV/0!</v>
      </c>
      <c r="X336" s="235">
        <f t="shared" si="270"/>
        <v>0</v>
      </c>
      <c r="Y336" s="236">
        <f t="shared" si="247"/>
        <v>5</v>
      </c>
      <c r="Z336" s="236" t="e">
        <f t="shared" si="248"/>
        <v>#DIV/0!</v>
      </c>
      <c r="AA336" s="236">
        <f t="shared" si="249"/>
        <v>3</v>
      </c>
      <c r="AB336" s="236" t="e">
        <f t="shared" si="250"/>
        <v>#DIV/0!</v>
      </c>
      <c r="AC336" s="235">
        <f t="shared" si="251"/>
        <v>0</v>
      </c>
      <c r="AD336" s="235">
        <f t="shared" si="252"/>
        <v>0</v>
      </c>
      <c r="AE336" s="279">
        <f t="shared" si="253"/>
        <v>0</v>
      </c>
      <c r="AF336" s="232">
        <f t="shared" si="254"/>
        <v>0</v>
      </c>
      <c r="AG336" s="235">
        <f t="shared" si="255"/>
        <v>0</v>
      </c>
      <c r="AH336" s="269">
        <f t="shared" si="256"/>
        <v>0</v>
      </c>
      <c r="AI336" s="232">
        <f t="shared" si="257"/>
        <v>0</v>
      </c>
      <c r="AJ336" s="235">
        <f t="shared" si="258"/>
        <v>0</v>
      </c>
      <c r="AK336" s="269">
        <f t="shared" si="259"/>
        <v>0</v>
      </c>
      <c r="AL336" s="269">
        <f t="shared" si="271"/>
        <v>0</v>
      </c>
      <c r="AM336" s="281" t="e">
        <f>IF(B336&gt;=mpfo,pos*vvm*Dados!$E$122*(ntudv-SUM(U$301:$U337))-SUM($AM$13:AM335),0)</f>
        <v>#DIV/0!</v>
      </c>
      <c r="AN336" s="269" t="e">
        <f t="shared" si="260"/>
        <v>#DIV/0!</v>
      </c>
      <c r="AO336" s="232" t="e">
        <f t="shared" si="261"/>
        <v>#DIV/0!</v>
      </c>
      <c r="AP336" s="242" t="e">
        <f t="shared" si="262"/>
        <v>#DIV/0!</v>
      </c>
      <c r="AQ336" s="235" t="e">
        <f>IF(AP336+SUM($AQ$12:AQ335)&gt;=0,0,-AP336-SUM($AQ$12:AQ335))</f>
        <v>#DIV/0!</v>
      </c>
      <c r="AR336" s="235">
        <f>IF(SUM($N$13:N335)&gt;=pmo,IF(SUM(N335:$N$501)&gt;(1-pmo),B336,0),0)</f>
        <v>0</v>
      </c>
      <c r="AS336" s="235" t="e">
        <f>IF((SUM($U$13:$U335)/ntudv)&gt;=pmv,IF((SUM($U335:$U$501)/ntudv)&gt;(1-pmv),B336,0),0)</f>
        <v>#DIV/0!</v>
      </c>
      <c r="AT336" s="237" t="e">
        <f>IF(MAX(mmo,mmv)=mmo,IF(B336=AR336,(SUM(N$13:$N335)-pmo)/((1-VLOOKUP(MAX(mmo,mmv)-1,$B$13:$O$501,14))+(VLOOKUP(MAX(mmo,mmv)-1,$B$13:$O$501,14)-pmo)),N335/((1-VLOOKUP(MAX(mmo,mmv)-1,$B$13:$O$501,14)+(VLOOKUP(MAX(mmo,mmv)-1,$B$13:$O$501,14)-pmo)))),N335/(1-VLOOKUP(MAX(mmo,mmv)-2,$B$13:$O$501,14)))</f>
        <v>#DIV/0!</v>
      </c>
      <c r="AU336" s="101" t="e">
        <f t="shared" si="272"/>
        <v>#DIV/0!</v>
      </c>
      <c r="AV336" s="287" t="e">
        <f t="shared" si="273"/>
        <v>#DIV/0!</v>
      </c>
      <c r="AW336" s="235" t="e">
        <f t="shared" si="263"/>
        <v>#DIV/0!</v>
      </c>
      <c r="AX336" s="281">
        <f>IF(B336&gt;mpfo,0,IF(B336=mpfo,(vld-teo*(1+tcfo-incc)^(MAX(mmo,mmv)-mbfo))*-1,IF(SUM($N$13:N335)&gt;=pmo,IF(($V335/ntudv)&gt;=pmv,IF(B336=MAX(mmo,mmv),-teo*(1+tcfo-incc)^(B336-mbfo),0),0),0)))</f>
        <v>0</v>
      </c>
      <c r="AY336" s="292" t="e">
        <f t="shared" si="274"/>
        <v>#DIV/0!</v>
      </c>
      <c r="AZ336" s="235" t="e">
        <f t="shared" si="264"/>
        <v>#DIV/0!</v>
      </c>
      <c r="BA336" s="269" t="e">
        <f t="shared" si="265"/>
        <v>#DIV/0!</v>
      </c>
      <c r="BB336" s="292" t="e">
        <f t="shared" si="266"/>
        <v>#DIV/0!</v>
      </c>
      <c r="BC336" s="238" t="e">
        <f>IF(SUM($BC$13:BC335)&gt;0,0,IF(BB336&gt;0,B336,0))</f>
        <v>#DIV/0!</v>
      </c>
      <c r="BD336" s="292" t="e">
        <f>IF(BB336+SUM($BD$12:BD335)&gt;=0,0,-BB336-SUM($BD$12:BD335))</f>
        <v>#DIV/0!</v>
      </c>
      <c r="BE336" s="235" t="e">
        <f>BB336+SUM($BD$12:BD336)</f>
        <v>#DIV/0!</v>
      </c>
      <c r="BF336" s="292" t="e">
        <f>-MIN(BE336:$BE$501)-SUM(BF$12:$BF335)</f>
        <v>#DIV/0!</v>
      </c>
      <c r="BG336" s="235" t="e">
        <f t="shared" si="277"/>
        <v>#DIV/0!</v>
      </c>
    </row>
    <row r="337" spans="2:59">
      <c r="B337" s="120">
        <v>324</v>
      </c>
      <c r="C337" s="241">
        <f t="shared" si="276"/>
        <v>52540</v>
      </c>
      <c r="D337" s="229">
        <f t="shared" si="232"/>
        <v>11</v>
      </c>
      <c r="E337" s="230" t="str">
        <f t="shared" si="233"/>
        <v>-</v>
      </c>
      <c r="F337" s="231">
        <f t="shared" si="234"/>
        <v>0</v>
      </c>
      <c r="G337" s="231">
        <f t="shared" si="235"/>
        <v>0</v>
      </c>
      <c r="H337" s="231">
        <f t="shared" si="236"/>
        <v>0</v>
      </c>
      <c r="I337" s="268">
        <f t="shared" si="267"/>
        <v>0</v>
      </c>
      <c r="J337" s="269">
        <f t="shared" si="237"/>
        <v>0</v>
      </c>
      <c r="K337" s="269">
        <f t="shared" si="238"/>
        <v>0</v>
      </c>
      <c r="L337" s="269">
        <f t="shared" si="268"/>
        <v>0</v>
      </c>
      <c r="M337" s="269">
        <f t="shared" si="269"/>
        <v>0</v>
      </c>
      <c r="N337" s="233">
        <f>VLOOKUP(B337,Dados!$L$86:$P$90,5)</f>
        <v>0</v>
      </c>
      <c r="O337" s="270">
        <f t="shared" si="239"/>
        <v>0.99999999999999989</v>
      </c>
      <c r="P337" s="269">
        <f t="shared" si="240"/>
        <v>0</v>
      </c>
      <c r="Q337" s="269" t="e">
        <f t="shared" si="241"/>
        <v>#DIV/0!</v>
      </c>
      <c r="R337" s="269">
        <f t="shared" si="242"/>
        <v>0</v>
      </c>
      <c r="S337" s="269" t="e">
        <f t="shared" si="243"/>
        <v>#DIV/0!</v>
      </c>
      <c r="T337" s="269" t="e">
        <f t="shared" si="275"/>
        <v>#DIV/0!</v>
      </c>
      <c r="U337" s="234">
        <f t="shared" si="244"/>
        <v>0</v>
      </c>
      <c r="V337" s="232" t="e">
        <f t="shared" si="245"/>
        <v>#DIV/0!</v>
      </c>
      <c r="W337" s="269" t="e">
        <f t="shared" si="246"/>
        <v>#DIV/0!</v>
      </c>
      <c r="X337" s="235">
        <f t="shared" si="270"/>
        <v>0</v>
      </c>
      <c r="Y337" s="236">
        <f t="shared" si="247"/>
        <v>5</v>
      </c>
      <c r="Z337" s="236" t="e">
        <f t="shared" si="248"/>
        <v>#DIV/0!</v>
      </c>
      <c r="AA337" s="236">
        <f t="shared" si="249"/>
        <v>3</v>
      </c>
      <c r="AB337" s="236" t="e">
        <f t="shared" si="250"/>
        <v>#DIV/0!</v>
      </c>
      <c r="AC337" s="235">
        <f t="shared" si="251"/>
        <v>0</v>
      </c>
      <c r="AD337" s="235">
        <f t="shared" si="252"/>
        <v>0</v>
      </c>
      <c r="AE337" s="279">
        <f t="shared" si="253"/>
        <v>0</v>
      </c>
      <c r="AF337" s="232">
        <f t="shared" si="254"/>
        <v>0</v>
      </c>
      <c r="AG337" s="235">
        <f t="shared" si="255"/>
        <v>0</v>
      </c>
      <c r="AH337" s="269">
        <f t="shared" si="256"/>
        <v>0</v>
      </c>
      <c r="AI337" s="232">
        <f t="shared" si="257"/>
        <v>0</v>
      </c>
      <c r="AJ337" s="235">
        <f t="shared" si="258"/>
        <v>0</v>
      </c>
      <c r="AK337" s="269">
        <f t="shared" si="259"/>
        <v>0</v>
      </c>
      <c r="AL337" s="269">
        <f t="shared" si="271"/>
        <v>0</v>
      </c>
      <c r="AM337" s="281" t="e">
        <f>IF(B337&gt;=mpfo,pos*vvm*Dados!$E$122*(ntudv-SUM(U$301:$U338))-SUM($AM$13:AM336),0)</f>
        <v>#DIV/0!</v>
      </c>
      <c r="AN337" s="269" t="e">
        <f t="shared" si="260"/>
        <v>#DIV/0!</v>
      </c>
      <c r="AO337" s="232" t="e">
        <f t="shared" si="261"/>
        <v>#DIV/0!</v>
      </c>
      <c r="AP337" s="242" t="e">
        <f t="shared" si="262"/>
        <v>#DIV/0!</v>
      </c>
      <c r="AQ337" s="235" t="e">
        <f>IF(AP337+SUM($AQ$12:AQ336)&gt;=0,0,-AP337-SUM($AQ$12:AQ336))</f>
        <v>#DIV/0!</v>
      </c>
      <c r="AR337" s="235">
        <f>IF(SUM($N$13:N336)&gt;=pmo,IF(SUM(N336:$N$501)&gt;(1-pmo),B337,0),0)</f>
        <v>0</v>
      </c>
      <c r="AS337" s="235" t="e">
        <f>IF((SUM($U$13:$U336)/ntudv)&gt;=pmv,IF((SUM($U336:$U$501)/ntudv)&gt;(1-pmv),B337,0),0)</f>
        <v>#DIV/0!</v>
      </c>
      <c r="AT337" s="237" t="e">
        <f>IF(MAX(mmo,mmv)=mmo,IF(B337=AR337,(SUM(N$13:$N336)-pmo)/((1-VLOOKUP(MAX(mmo,mmv)-1,$B$13:$O$501,14))+(VLOOKUP(MAX(mmo,mmv)-1,$B$13:$O$501,14)-pmo)),N336/((1-VLOOKUP(MAX(mmo,mmv)-1,$B$13:$O$501,14)+(VLOOKUP(MAX(mmo,mmv)-1,$B$13:$O$501,14)-pmo)))),N336/(1-VLOOKUP(MAX(mmo,mmv)-2,$B$13:$O$501,14)))</f>
        <v>#DIV/0!</v>
      </c>
      <c r="AU337" s="101" t="e">
        <f t="shared" si="272"/>
        <v>#DIV/0!</v>
      </c>
      <c r="AV337" s="287" t="e">
        <f t="shared" si="273"/>
        <v>#DIV/0!</v>
      </c>
      <c r="AW337" s="235" t="e">
        <f t="shared" si="263"/>
        <v>#DIV/0!</v>
      </c>
      <c r="AX337" s="281">
        <f>IF(B337&gt;mpfo,0,IF(B337=mpfo,(vld-teo*(1+tcfo-incc)^(MAX(mmo,mmv)-mbfo))*-1,IF(SUM($N$13:N336)&gt;=pmo,IF(($V336/ntudv)&gt;=pmv,IF(B337=MAX(mmo,mmv),-teo*(1+tcfo-incc)^(B337-mbfo),0),0),0)))</f>
        <v>0</v>
      </c>
      <c r="AY337" s="292" t="e">
        <f t="shared" si="274"/>
        <v>#DIV/0!</v>
      </c>
      <c r="AZ337" s="235" t="e">
        <f t="shared" si="264"/>
        <v>#DIV/0!</v>
      </c>
      <c r="BA337" s="269" t="e">
        <f t="shared" si="265"/>
        <v>#DIV/0!</v>
      </c>
      <c r="BB337" s="292" t="e">
        <f t="shared" si="266"/>
        <v>#DIV/0!</v>
      </c>
      <c r="BC337" s="238" t="e">
        <f>IF(SUM($BC$13:BC336)&gt;0,0,IF(BB337&gt;0,B337,0))</f>
        <v>#DIV/0!</v>
      </c>
      <c r="BD337" s="292" t="e">
        <f>IF(BB337+SUM($BD$12:BD336)&gt;=0,0,-BB337-SUM($BD$12:BD336))</f>
        <v>#DIV/0!</v>
      </c>
      <c r="BE337" s="235" t="e">
        <f>BB337+SUM($BD$12:BD337)</f>
        <v>#DIV/0!</v>
      </c>
      <c r="BF337" s="292" t="e">
        <f>-MIN(BE337:$BE$501)-SUM(BF$12:$BF336)</f>
        <v>#DIV/0!</v>
      </c>
      <c r="BG337" s="235" t="e">
        <f t="shared" si="277"/>
        <v>#DIV/0!</v>
      </c>
    </row>
    <row r="338" spans="2:59">
      <c r="B338" s="246">
        <v>325</v>
      </c>
      <c r="C338" s="241">
        <f t="shared" si="276"/>
        <v>52570</v>
      </c>
      <c r="D338" s="229">
        <f t="shared" si="232"/>
        <v>12</v>
      </c>
      <c r="E338" s="230" t="str">
        <f t="shared" si="233"/>
        <v>-</v>
      </c>
      <c r="F338" s="231">
        <f t="shared" si="234"/>
        <v>0</v>
      </c>
      <c r="G338" s="231">
        <f t="shared" si="235"/>
        <v>0</v>
      </c>
      <c r="H338" s="231">
        <f t="shared" si="236"/>
        <v>0</v>
      </c>
      <c r="I338" s="268">
        <f t="shared" si="267"/>
        <v>0</v>
      </c>
      <c r="J338" s="269">
        <f t="shared" si="237"/>
        <v>0</v>
      </c>
      <c r="K338" s="269">
        <f t="shared" si="238"/>
        <v>0</v>
      </c>
      <c r="L338" s="269">
        <f t="shared" si="268"/>
        <v>0</v>
      </c>
      <c r="M338" s="269">
        <f t="shared" si="269"/>
        <v>0</v>
      </c>
      <c r="N338" s="233">
        <f>VLOOKUP(B338,Dados!$L$86:$P$90,5)</f>
        <v>0</v>
      </c>
      <c r="O338" s="270">
        <f t="shared" si="239"/>
        <v>0.99999999999999989</v>
      </c>
      <c r="P338" s="269">
        <f t="shared" si="240"/>
        <v>0</v>
      </c>
      <c r="Q338" s="269" t="e">
        <f t="shared" si="241"/>
        <v>#DIV/0!</v>
      </c>
      <c r="R338" s="269">
        <f t="shared" si="242"/>
        <v>0</v>
      </c>
      <c r="S338" s="269" t="e">
        <f t="shared" si="243"/>
        <v>#DIV/0!</v>
      </c>
      <c r="T338" s="269" t="e">
        <f t="shared" si="275"/>
        <v>#DIV/0!</v>
      </c>
      <c r="U338" s="234">
        <f t="shared" si="244"/>
        <v>0</v>
      </c>
      <c r="V338" s="232" t="e">
        <f t="shared" si="245"/>
        <v>#DIV/0!</v>
      </c>
      <c r="W338" s="269" t="e">
        <f t="shared" si="246"/>
        <v>#DIV/0!</v>
      </c>
      <c r="X338" s="235">
        <f t="shared" si="270"/>
        <v>0</v>
      </c>
      <c r="Y338" s="236">
        <f t="shared" si="247"/>
        <v>5</v>
      </c>
      <c r="Z338" s="236" t="e">
        <f t="shared" si="248"/>
        <v>#DIV/0!</v>
      </c>
      <c r="AA338" s="236">
        <f t="shared" si="249"/>
        <v>3</v>
      </c>
      <c r="AB338" s="236" t="e">
        <f t="shared" si="250"/>
        <v>#DIV/0!</v>
      </c>
      <c r="AC338" s="235">
        <f t="shared" si="251"/>
        <v>0</v>
      </c>
      <c r="AD338" s="235">
        <f t="shared" si="252"/>
        <v>0</v>
      </c>
      <c r="AE338" s="279">
        <f t="shared" si="253"/>
        <v>0</v>
      </c>
      <c r="AF338" s="232">
        <f t="shared" si="254"/>
        <v>1</v>
      </c>
      <c r="AG338" s="235">
        <f t="shared" si="255"/>
        <v>0</v>
      </c>
      <c r="AH338" s="269">
        <f t="shared" si="256"/>
        <v>0</v>
      </c>
      <c r="AI338" s="232">
        <f t="shared" si="257"/>
        <v>1</v>
      </c>
      <c r="AJ338" s="235">
        <f t="shared" si="258"/>
        <v>0</v>
      </c>
      <c r="AK338" s="269">
        <f t="shared" si="259"/>
        <v>0</v>
      </c>
      <c r="AL338" s="269">
        <f t="shared" si="271"/>
        <v>0</v>
      </c>
      <c r="AM338" s="281" t="e">
        <f>IF(B338&gt;=mpfo,pos*vvm*Dados!$E$122*(ntudv-SUM(U$301:$U339))-SUM($AM$13:AM337),0)</f>
        <v>#DIV/0!</v>
      </c>
      <c r="AN338" s="269" t="e">
        <f t="shared" si="260"/>
        <v>#DIV/0!</v>
      </c>
      <c r="AO338" s="232" t="e">
        <f t="shared" si="261"/>
        <v>#DIV/0!</v>
      </c>
      <c r="AP338" s="242" t="e">
        <f t="shared" si="262"/>
        <v>#DIV/0!</v>
      </c>
      <c r="AQ338" s="235" t="e">
        <f>IF(AP338+SUM($AQ$12:AQ337)&gt;=0,0,-AP338-SUM($AQ$12:AQ337))</f>
        <v>#DIV/0!</v>
      </c>
      <c r="AR338" s="235">
        <f>IF(SUM($N$13:N337)&gt;=pmo,IF(SUM(N337:$N$501)&gt;(1-pmo),B338,0),0)</f>
        <v>0</v>
      </c>
      <c r="AS338" s="235" t="e">
        <f>IF((SUM($U$13:$U337)/ntudv)&gt;=pmv,IF((SUM($U337:$U$501)/ntudv)&gt;(1-pmv),B338,0),0)</f>
        <v>#DIV/0!</v>
      </c>
      <c r="AT338" s="237" t="e">
        <f>IF(MAX(mmo,mmv)=mmo,IF(B338=AR338,(SUM(N$13:$N337)-pmo)/((1-VLOOKUP(MAX(mmo,mmv)-1,$B$13:$O$501,14))+(VLOOKUP(MAX(mmo,mmv)-1,$B$13:$O$501,14)-pmo)),N337/((1-VLOOKUP(MAX(mmo,mmv)-1,$B$13:$O$501,14)+(VLOOKUP(MAX(mmo,mmv)-1,$B$13:$O$501,14)-pmo)))),N337/(1-VLOOKUP(MAX(mmo,mmv)-2,$B$13:$O$501,14)))</f>
        <v>#DIV/0!</v>
      </c>
      <c r="AU338" s="101" t="e">
        <f t="shared" si="272"/>
        <v>#DIV/0!</v>
      </c>
      <c r="AV338" s="287" t="e">
        <f t="shared" si="273"/>
        <v>#DIV/0!</v>
      </c>
      <c r="AW338" s="235" t="e">
        <f t="shared" si="263"/>
        <v>#DIV/0!</v>
      </c>
      <c r="AX338" s="281">
        <f>IF(B338&gt;mpfo,0,IF(B338=mpfo,(vld-teo*(1+tcfo-incc)^(MAX(mmo,mmv)-mbfo))*-1,IF(SUM($N$13:N337)&gt;=pmo,IF(($V337/ntudv)&gt;=pmv,IF(B338=MAX(mmo,mmv),-teo*(1+tcfo-incc)^(B338-mbfo),0),0),0)))</f>
        <v>0</v>
      </c>
      <c r="AY338" s="292" t="e">
        <f t="shared" si="274"/>
        <v>#DIV/0!</v>
      </c>
      <c r="AZ338" s="235" t="e">
        <f t="shared" si="264"/>
        <v>#DIV/0!</v>
      </c>
      <c r="BA338" s="269" t="e">
        <f t="shared" si="265"/>
        <v>#DIV/0!</v>
      </c>
      <c r="BB338" s="292" t="e">
        <f t="shared" si="266"/>
        <v>#DIV/0!</v>
      </c>
      <c r="BC338" s="238" t="e">
        <f>IF(SUM($BC$13:BC337)&gt;0,0,IF(BB338&gt;0,B338,0))</f>
        <v>#DIV/0!</v>
      </c>
      <c r="BD338" s="292" t="e">
        <f>IF(BB338+SUM($BD$12:BD337)&gt;=0,0,-BB338-SUM($BD$12:BD337))</f>
        <v>#DIV/0!</v>
      </c>
      <c r="BE338" s="235" t="e">
        <f>BB338+SUM($BD$12:BD338)</f>
        <v>#DIV/0!</v>
      </c>
      <c r="BF338" s="292" t="e">
        <f>-MIN(BE338:$BE$501)-SUM(BF$12:$BF337)</f>
        <v>#DIV/0!</v>
      </c>
      <c r="BG338" s="235" t="e">
        <f t="shared" si="277"/>
        <v>#DIV/0!</v>
      </c>
    </row>
    <row r="339" spans="2:59">
      <c r="B339" s="120">
        <v>326</v>
      </c>
      <c r="C339" s="241">
        <f t="shared" si="276"/>
        <v>52601</v>
      </c>
      <c r="D339" s="229">
        <f t="shared" si="232"/>
        <v>1</v>
      </c>
      <c r="E339" s="230" t="str">
        <f t="shared" si="233"/>
        <v>-</v>
      </c>
      <c r="F339" s="231">
        <f t="shared" si="234"/>
        <v>0</v>
      </c>
      <c r="G339" s="231">
        <f t="shared" si="235"/>
        <v>0</v>
      </c>
      <c r="H339" s="231">
        <f t="shared" si="236"/>
        <v>0</v>
      </c>
      <c r="I339" s="268">
        <f t="shared" si="267"/>
        <v>0</v>
      </c>
      <c r="J339" s="269">
        <f t="shared" si="237"/>
        <v>0</v>
      </c>
      <c r="K339" s="269">
        <f t="shared" si="238"/>
        <v>0</v>
      </c>
      <c r="L339" s="269">
        <f t="shared" si="268"/>
        <v>0</v>
      </c>
      <c r="M339" s="269">
        <f t="shared" si="269"/>
        <v>0</v>
      </c>
      <c r="N339" s="233">
        <f>VLOOKUP(B339,Dados!$L$86:$P$90,5)</f>
        <v>0</v>
      </c>
      <c r="O339" s="270">
        <f t="shared" si="239"/>
        <v>0.99999999999999989</v>
      </c>
      <c r="P339" s="269">
        <f t="shared" si="240"/>
        <v>0</v>
      </c>
      <c r="Q339" s="269" t="e">
        <f t="shared" si="241"/>
        <v>#DIV/0!</v>
      </c>
      <c r="R339" s="269">
        <f t="shared" si="242"/>
        <v>0</v>
      </c>
      <c r="S339" s="269" t="e">
        <f t="shared" si="243"/>
        <v>#DIV/0!</v>
      </c>
      <c r="T339" s="269" t="e">
        <f t="shared" si="275"/>
        <v>#DIV/0!</v>
      </c>
      <c r="U339" s="234">
        <f t="shared" si="244"/>
        <v>0</v>
      </c>
      <c r="V339" s="232" t="e">
        <f t="shared" si="245"/>
        <v>#DIV/0!</v>
      </c>
      <c r="W339" s="269" t="e">
        <f t="shared" si="246"/>
        <v>#DIV/0!</v>
      </c>
      <c r="X339" s="235">
        <f t="shared" si="270"/>
        <v>0</v>
      </c>
      <c r="Y339" s="236">
        <f t="shared" si="247"/>
        <v>5</v>
      </c>
      <c r="Z339" s="236" t="e">
        <f t="shared" si="248"/>
        <v>#DIV/0!</v>
      </c>
      <c r="AA339" s="236">
        <f t="shared" si="249"/>
        <v>3</v>
      </c>
      <c r="AB339" s="236" t="e">
        <f t="shared" si="250"/>
        <v>#DIV/0!</v>
      </c>
      <c r="AC339" s="235">
        <f t="shared" si="251"/>
        <v>0</v>
      </c>
      <c r="AD339" s="235">
        <f t="shared" si="252"/>
        <v>0</v>
      </c>
      <c r="AE339" s="279">
        <f t="shared" si="253"/>
        <v>0</v>
      </c>
      <c r="AF339" s="232">
        <f t="shared" si="254"/>
        <v>0</v>
      </c>
      <c r="AG339" s="235">
        <f t="shared" si="255"/>
        <v>0</v>
      </c>
      <c r="AH339" s="269">
        <f t="shared" si="256"/>
        <v>0</v>
      </c>
      <c r="AI339" s="232">
        <f t="shared" si="257"/>
        <v>0</v>
      </c>
      <c r="AJ339" s="235">
        <f t="shared" si="258"/>
        <v>0</v>
      </c>
      <c r="AK339" s="269">
        <f t="shared" si="259"/>
        <v>0</v>
      </c>
      <c r="AL339" s="269">
        <f t="shared" si="271"/>
        <v>0</v>
      </c>
      <c r="AM339" s="281" t="e">
        <f>IF(B339&gt;=mpfo,pos*vvm*Dados!$E$122*(ntudv-SUM(U$301:$U340))-SUM($AM$13:AM338),0)</f>
        <v>#DIV/0!</v>
      </c>
      <c r="AN339" s="269" t="e">
        <f t="shared" si="260"/>
        <v>#DIV/0!</v>
      </c>
      <c r="AO339" s="232" t="e">
        <f t="shared" si="261"/>
        <v>#DIV/0!</v>
      </c>
      <c r="AP339" s="242" t="e">
        <f t="shared" si="262"/>
        <v>#DIV/0!</v>
      </c>
      <c r="AQ339" s="235" t="e">
        <f>IF(AP339+SUM($AQ$12:AQ338)&gt;=0,0,-AP339-SUM($AQ$12:AQ338))</f>
        <v>#DIV/0!</v>
      </c>
      <c r="AR339" s="235">
        <f>IF(SUM($N$13:N338)&gt;=pmo,IF(SUM(N338:$N$501)&gt;(1-pmo),B339,0),0)</f>
        <v>0</v>
      </c>
      <c r="AS339" s="235" t="e">
        <f>IF((SUM($U$13:$U338)/ntudv)&gt;=pmv,IF((SUM($U338:$U$501)/ntudv)&gt;(1-pmv),B339,0),0)</f>
        <v>#DIV/0!</v>
      </c>
      <c r="AT339" s="237" t="e">
        <f>IF(MAX(mmo,mmv)=mmo,IF(B339=AR339,(SUM(N$13:$N338)-pmo)/((1-VLOOKUP(MAX(mmo,mmv)-1,$B$13:$O$501,14))+(VLOOKUP(MAX(mmo,mmv)-1,$B$13:$O$501,14)-pmo)),N338/((1-VLOOKUP(MAX(mmo,mmv)-1,$B$13:$O$501,14)+(VLOOKUP(MAX(mmo,mmv)-1,$B$13:$O$501,14)-pmo)))),N338/(1-VLOOKUP(MAX(mmo,mmv)-2,$B$13:$O$501,14)))</f>
        <v>#DIV/0!</v>
      </c>
      <c r="AU339" s="101" t="e">
        <f t="shared" si="272"/>
        <v>#DIV/0!</v>
      </c>
      <c r="AV339" s="287" t="e">
        <f t="shared" si="273"/>
        <v>#DIV/0!</v>
      </c>
      <c r="AW339" s="235" t="e">
        <f t="shared" si="263"/>
        <v>#DIV/0!</v>
      </c>
      <c r="AX339" s="281">
        <f>IF(B339&gt;mpfo,0,IF(B339=mpfo,(vld-teo*(1+tcfo-incc)^(MAX(mmo,mmv)-mbfo))*-1,IF(SUM($N$13:N338)&gt;=pmo,IF(($V338/ntudv)&gt;=pmv,IF(B339=MAX(mmo,mmv),-teo*(1+tcfo-incc)^(B339-mbfo),0),0),0)))</f>
        <v>0</v>
      </c>
      <c r="AY339" s="292" t="e">
        <f t="shared" si="274"/>
        <v>#DIV/0!</v>
      </c>
      <c r="AZ339" s="235" t="e">
        <f t="shared" si="264"/>
        <v>#DIV/0!</v>
      </c>
      <c r="BA339" s="269" t="e">
        <f t="shared" si="265"/>
        <v>#DIV/0!</v>
      </c>
      <c r="BB339" s="292" t="e">
        <f t="shared" si="266"/>
        <v>#DIV/0!</v>
      </c>
      <c r="BC339" s="238" t="e">
        <f>IF(SUM($BC$13:BC338)&gt;0,0,IF(BB339&gt;0,B339,0))</f>
        <v>#DIV/0!</v>
      </c>
      <c r="BD339" s="292" t="e">
        <f>IF(BB339+SUM($BD$12:BD338)&gt;=0,0,-BB339-SUM($BD$12:BD338))</f>
        <v>#DIV/0!</v>
      </c>
      <c r="BE339" s="235" t="e">
        <f>BB339+SUM($BD$12:BD339)</f>
        <v>#DIV/0!</v>
      </c>
      <c r="BF339" s="292" t="e">
        <f>-MIN(BE339:$BE$501)-SUM(BF$12:$BF338)</f>
        <v>#DIV/0!</v>
      </c>
      <c r="BG339" s="235" t="e">
        <f t="shared" si="277"/>
        <v>#DIV/0!</v>
      </c>
    </row>
    <row r="340" spans="2:59">
      <c r="B340" s="246">
        <v>327</v>
      </c>
      <c r="C340" s="241">
        <f t="shared" si="276"/>
        <v>52632</v>
      </c>
      <c r="D340" s="229">
        <f t="shared" si="232"/>
        <v>2</v>
      </c>
      <c r="E340" s="230" t="str">
        <f t="shared" si="233"/>
        <v>-</v>
      </c>
      <c r="F340" s="231">
        <f t="shared" si="234"/>
        <v>0</v>
      </c>
      <c r="G340" s="231">
        <f t="shared" si="235"/>
        <v>0</v>
      </c>
      <c r="H340" s="231">
        <f t="shared" si="236"/>
        <v>0</v>
      </c>
      <c r="I340" s="268">
        <f t="shared" si="267"/>
        <v>0</v>
      </c>
      <c r="J340" s="269">
        <f t="shared" si="237"/>
        <v>0</v>
      </c>
      <c r="K340" s="269">
        <f t="shared" si="238"/>
        <v>0</v>
      </c>
      <c r="L340" s="269">
        <f t="shared" si="268"/>
        <v>0</v>
      </c>
      <c r="M340" s="269">
        <f t="shared" si="269"/>
        <v>0</v>
      </c>
      <c r="N340" s="233">
        <f>VLOOKUP(B340,Dados!$L$86:$P$90,5)</f>
        <v>0</v>
      </c>
      <c r="O340" s="270">
        <f t="shared" si="239"/>
        <v>0.99999999999999989</v>
      </c>
      <c r="P340" s="269">
        <f t="shared" si="240"/>
        <v>0</v>
      </c>
      <c r="Q340" s="269" t="e">
        <f t="shared" si="241"/>
        <v>#DIV/0!</v>
      </c>
      <c r="R340" s="269">
        <f t="shared" si="242"/>
        <v>0</v>
      </c>
      <c r="S340" s="269" t="e">
        <f t="shared" si="243"/>
        <v>#DIV/0!</v>
      </c>
      <c r="T340" s="269" t="e">
        <f t="shared" si="275"/>
        <v>#DIV/0!</v>
      </c>
      <c r="U340" s="234">
        <f t="shared" si="244"/>
        <v>0</v>
      </c>
      <c r="V340" s="232" t="e">
        <f t="shared" si="245"/>
        <v>#DIV/0!</v>
      </c>
      <c r="W340" s="269" t="e">
        <f t="shared" si="246"/>
        <v>#DIV/0!</v>
      </c>
      <c r="X340" s="235">
        <f t="shared" si="270"/>
        <v>0</v>
      </c>
      <c r="Y340" s="236">
        <f t="shared" si="247"/>
        <v>5</v>
      </c>
      <c r="Z340" s="236" t="e">
        <f t="shared" si="248"/>
        <v>#DIV/0!</v>
      </c>
      <c r="AA340" s="236">
        <f t="shared" si="249"/>
        <v>3</v>
      </c>
      <c r="AB340" s="236" t="e">
        <f t="shared" si="250"/>
        <v>#DIV/0!</v>
      </c>
      <c r="AC340" s="235">
        <f t="shared" si="251"/>
        <v>0</v>
      </c>
      <c r="AD340" s="235">
        <f t="shared" si="252"/>
        <v>0</v>
      </c>
      <c r="AE340" s="279">
        <f t="shared" si="253"/>
        <v>0</v>
      </c>
      <c r="AF340" s="232">
        <f t="shared" si="254"/>
        <v>0</v>
      </c>
      <c r="AG340" s="235">
        <f t="shared" si="255"/>
        <v>0</v>
      </c>
      <c r="AH340" s="269">
        <f t="shared" si="256"/>
        <v>0</v>
      </c>
      <c r="AI340" s="232">
        <f t="shared" si="257"/>
        <v>0</v>
      </c>
      <c r="AJ340" s="235">
        <f t="shared" si="258"/>
        <v>0</v>
      </c>
      <c r="AK340" s="269">
        <f t="shared" si="259"/>
        <v>0</v>
      </c>
      <c r="AL340" s="269">
        <f t="shared" si="271"/>
        <v>0</v>
      </c>
      <c r="AM340" s="281" t="e">
        <f>IF(B340&gt;=mpfo,pos*vvm*Dados!$E$122*(ntudv-SUM(U$301:$U341))-SUM($AM$13:AM339),0)</f>
        <v>#DIV/0!</v>
      </c>
      <c r="AN340" s="269" t="e">
        <f t="shared" si="260"/>
        <v>#DIV/0!</v>
      </c>
      <c r="AO340" s="232" t="e">
        <f t="shared" si="261"/>
        <v>#DIV/0!</v>
      </c>
      <c r="AP340" s="242" t="e">
        <f t="shared" si="262"/>
        <v>#DIV/0!</v>
      </c>
      <c r="AQ340" s="235" t="e">
        <f>IF(AP340+SUM($AQ$12:AQ339)&gt;=0,0,-AP340-SUM($AQ$12:AQ339))</f>
        <v>#DIV/0!</v>
      </c>
      <c r="AR340" s="235">
        <f>IF(SUM($N$13:N339)&gt;=pmo,IF(SUM(N339:$N$501)&gt;(1-pmo),B340,0),0)</f>
        <v>0</v>
      </c>
      <c r="AS340" s="235" t="e">
        <f>IF((SUM($U$13:$U339)/ntudv)&gt;=pmv,IF((SUM($U339:$U$501)/ntudv)&gt;(1-pmv),B340,0),0)</f>
        <v>#DIV/0!</v>
      </c>
      <c r="AT340" s="237" t="e">
        <f>IF(MAX(mmo,mmv)=mmo,IF(B340=AR340,(SUM(N$13:$N339)-pmo)/((1-VLOOKUP(MAX(mmo,mmv)-1,$B$13:$O$501,14))+(VLOOKUP(MAX(mmo,mmv)-1,$B$13:$O$501,14)-pmo)),N339/((1-VLOOKUP(MAX(mmo,mmv)-1,$B$13:$O$501,14)+(VLOOKUP(MAX(mmo,mmv)-1,$B$13:$O$501,14)-pmo)))),N339/(1-VLOOKUP(MAX(mmo,mmv)-2,$B$13:$O$501,14)))</f>
        <v>#DIV/0!</v>
      </c>
      <c r="AU340" s="101" t="e">
        <f t="shared" si="272"/>
        <v>#DIV/0!</v>
      </c>
      <c r="AV340" s="287" t="e">
        <f t="shared" si="273"/>
        <v>#DIV/0!</v>
      </c>
      <c r="AW340" s="235" t="e">
        <f t="shared" si="263"/>
        <v>#DIV/0!</v>
      </c>
      <c r="AX340" s="281">
        <f>IF(B340&gt;mpfo,0,IF(B340=mpfo,(vld-teo*(1+tcfo-incc)^(MAX(mmo,mmv)-mbfo))*-1,IF(SUM($N$13:N339)&gt;=pmo,IF(($V339/ntudv)&gt;=pmv,IF(B340=MAX(mmo,mmv),-teo*(1+tcfo-incc)^(B340-mbfo),0),0),0)))</f>
        <v>0</v>
      </c>
      <c r="AY340" s="292" t="e">
        <f t="shared" si="274"/>
        <v>#DIV/0!</v>
      </c>
      <c r="AZ340" s="235" t="e">
        <f t="shared" si="264"/>
        <v>#DIV/0!</v>
      </c>
      <c r="BA340" s="269" t="e">
        <f t="shared" si="265"/>
        <v>#DIV/0!</v>
      </c>
      <c r="BB340" s="292" t="e">
        <f t="shared" si="266"/>
        <v>#DIV/0!</v>
      </c>
      <c r="BC340" s="238" t="e">
        <f>IF(SUM($BC$13:BC339)&gt;0,0,IF(BB340&gt;0,B340,0))</f>
        <v>#DIV/0!</v>
      </c>
      <c r="BD340" s="292" t="e">
        <f>IF(BB340+SUM($BD$12:BD339)&gt;=0,0,-BB340-SUM($BD$12:BD339))</f>
        <v>#DIV/0!</v>
      </c>
      <c r="BE340" s="235" t="e">
        <f>BB340+SUM($BD$12:BD340)</f>
        <v>#DIV/0!</v>
      </c>
      <c r="BF340" s="292" t="e">
        <f>-MIN(BE340:$BE$501)-SUM(BF$12:$BF339)</f>
        <v>#DIV/0!</v>
      </c>
      <c r="BG340" s="235" t="e">
        <f t="shared" si="277"/>
        <v>#DIV/0!</v>
      </c>
    </row>
    <row r="341" spans="2:59">
      <c r="B341" s="120">
        <v>328</v>
      </c>
      <c r="C341" s="241">
        <f t="shared" si="276"/>
        <v>52661</v>
      </c>
      <c r="D341" s="229">
        <f t="shared" si="232"/>
        <v>3</v>
      </c>
      <c r="E341" s="230" t="str">
        <f t="shared" si="233"/>
        <v>-</v>
      </c>
      <c r="F341" s="231">
        <f t="shared" si="234"/>
        <v>0</v>
      </c>
      <c r="G341" s="231">
        <f t="shared" si="235"/>
        <v>0</v>
      </c>
      <c r="H341" s="231">
        <f t="shared" si="236"/>
        <v>0</v>
      </c>
      <c r="I341" s="268">
        <f t="shared" si="267"/>
        <v>0</v>
      </c>
      <c r="J341" s="269">
        <f t="shared" si="237"/>
        <v>0</v>
      </c>
      <c r="K341" s="269">
        <f t="shared" si="238"/>
        <v>0</v>
      </c>
      <c r="L341" s="269">
        <f t="shared" si="268"/>
        <v>0</v>
      </c>
      <c r="M341" s="269">
        <f t="shared" si="269"/>
        <v>0</v>
      </c>
      <c r="N341" s="233">
        <f>VLOOKUP(B341,Dados!$L$86:$P$90,5)</f>
        <v>0</v>
      </c>
      <c r="O341" s="270">
        <f t="shared" si="239"/>
        <v>0.99999999999999989</v>
      </c>
      <c r="P341" s="269">
        <f t="shared" si="240"/>
        <v>0</v>
      </c>
      <c r="Q341" s="269" t="e">
        <f t="shared" si="241"/>
        <v>#DIV/0!</v>
      </c>
      <c r="R341" s="269">
        <f t="shared" si="242"/>
        <v>0</v>
      </c>
      <c r="S341" s="269" t="e">
        <f t="shared" si="243"/>
        <v>#DIV/0!</v>
      </c>
      <c r="T341" s="269" t="e">
        <f t="shared" si="275"/>
        <v>#DIV/0!</v>
      </c>
      <c r="U341" s="234">
        <f t="shared" si="244"/>
        <v>0</v>
      </c>
      <c r="V341" s="232" t="e">
        <f t="shared" si="245"/>
        <v>#DIV/0!</v>
      </c>
      <c r="W341" s="269" t="e">
        <f t="shared" si="246"/>
        <v>#DIV/0!</v>
      </c>
      <c r="X341" s="235">
        <f t="shared" si="270"/>
        <v>0</v>
      </c>
      <c r="Y341" s="236">
        <f t="shared" si="247"/>
        <v>5</v>
      </c>
      <c r="Z341" s="236" t="e">
        <f t="shared" si="248"/>
        <v>#DIV/0!</v>
      </c>
      <c r="AA341" s="236">
        <f t="shared" si="249"/>
        <v>3</v>
      </c>
      <c r="AB341" s="236" t="e">
        <f t="shared" si="250"/>
        <v>#DIV/0!</v>
      </c>
      <c r="AC341" s="235">
        <f t="shared" si="251"/>
        <v>0</v>
      </c>
      <c r="AD341" s="235">
        <f t="shared" si="252"/>
        <v>0</v>
      </c>
      <c r="AE341" s="279">
        <f t="shared" si="253"/>
        <v>0</v>
      </c>
      <c r="AF341" s="232">
        <f t="shared" si="254"/>
        <v>0</v>
      </c>
      <c r="AG341" s="235">
        <f t="shared" si="255"/>
        <v>0</v>
      </c>
      <c r="AH341" s="269">
        <f t="shared" si="256"/>
        <v>0</v>
      </c>
      <c r="AI341" s="232">
        <f t="shared" si="257"/>
        <v>0</v>
      </c>
      <c r="AJ341" s="235">
        <f t="shared" si="258"/>
        <v>0</v>
      </c>
      <c r="AK341" s="269">
        <f t="shared" si="259"/>
        <v>0</v>
      </c>
      <c r="AL341" s="269">
        <f t="shared" si="271"/>
        <v>0</v>
      </c>
      <c r="AM341" s="281" t="e">
        <f>IF(B341&gt;=mpfo,pos*vvm*Dados!$E$122*(ntudv-SUM(U$301:$U342))-SUM($AM$13:AM340),0)</f>
        <v>#DIV/0!</v>
      </c>
      <c r="AN341" s="269" t="e">
        <f t="shared" si="260"/>
        <v>#DIV/0!</v>
      </c>
      <c r="AO341" s="232" t="e">
        <f t="shared" si="261"/>
        <v>#DIV/0!</v>
      </c>
      <c r="AP341" s="242" t="e">
        <f t="shared" si="262"/>
        <v>#DIV/0!</v>
      </c>
      <c r="AQ341" s="235" t="e">
        <f>IF(AP341+SUM($AQ$12:AQ340)&gt;=0,0,-AP341-SUM($AQ$12:AQ340))</f>
        <v>#DIV/0!</v>
      </c>
      <c r="AR341" s="235">
        <f>IF(SUM($N$13:N340)&gt;=pmo,IF(SUM(N340:$N$501)&gt;(1-pmo),B341,0),0)</f>
        <v>0</v>
      </c>
      <c r="AS341" s="235" t="e">
        <f>IF((SUM($U$13:$U340)/ntudv)&gt;=pmv,IF((SUM($U340:$U$501)/ntudv)&gt;(1-pmv),B341,0),0)</f>
        <v>#DIV/0!</v>
      </c>
      <c r="AT341" s="237" t="e">
        <f>IF(MAX(mmo,mmv)=mmo,IF(B341=AR341,(SUM(N$13:$N340)-pmo)/((1-VLOOKUP(MAX(mmo,mmv)-1,$B$13:$O$501,14))+(VLOOKUP(MAX(mmo,mmv)-1,$B$13:$O$501,14)-pmo)),N340/((1-VLOOKUP(MAX(mmo,mmv)-1,$B$13:$O$501,14)+(VLOOKUP(MAX(mmo,mmv)-1,$B$13:$O$501,14)-pmo)))),N340/(1-VLOOKUP(MAX(mmo,mmv)-2,$B$13:$O$501,14)))</f>
        <v>#DIV/0!</v>
      </c>
      <c r="AU341" s="101" t="e">
        <f t="shared" si="272"/>
        <v>#DIV/0!</v>
      </c>
      <c r="AV341" s="287" t="e">
        <f t="shared" si="273"/>
        <v>#DIV/0!</v>
      </c>
      <c r="AW341" s="235" t="e">
        <f t="shared" si="263"/>
        <v>#DIV/0!</v>
      </c>
      <c r="AX341" s="281">
        <f>IF(B341&gt;mpfo,0,IF(B341=mpfo,(vld-teo*(1+tcfo-incc)^(MAX(mmo,mmv)-mbfo))*-1,IF(SUM($N$13:N340)&gt;=pmo,IF(($V340/ntudv)&gt;=pmv,IF(B341=MAX(mmo,mmv),-teo*(1+tcfo-incc)^(B341-mbfo),0),0),0)))</f>
        <v>0</v>
      </c>
      <c r="AY341" s="292" t="e">
        <f t="shared" si="274"/>
        <v>#DIV/0!</v>
      </c>
      <c r="AZ341" s="235" t="e">
        <f t="shared" si="264"/>
        <v>#DIV/0!</v>
      </c>
      <c r="BA341" s="269" t="e">
        <f t="shared" si="265"/>
        <v>#DIV/0!</v>
      </c>
      <c r="BB341" s="292" t="e">
        <f t="shared" si="266"/>
        <v>#DIV/0!</v>
      </c>
      <c r="BC341" s="238" t="e">
        <f>IF(SUM($BC$13:BC340)&gt;0,0,IF(BB341&gt;0,B341,0))</f>
        <v>#DIV/0!</v>
      </c>
      <c r="BD341" s="292" t="e">
        <f>IF(BB341+SUM($BD$12:BD340)&gt;=0,0,-BB341-SUM($BD$12:BD340))</f>
        <v>#DIV/0!</v>
      </c>
      <c r="BE341" s="235" t="e">
        <f>BB341+SUM($BD$12:BD341)</f>
        <v>#DIV/0!</v>
      </c>
      <c r="BF341" s="292" t="e">
        <f>-MIN(BE341:$BE$501)-SUM(BF$12:$BF340)</f>
        <v>#DIV/0!</v>
      </c>
      <c r="BG341" s="235" t="e">
        <f t="shared" si="277"/>
        <v>#DIV/0!</v>
      </c>
    </row>
    <row r="342" spans="2:59">
      <c r="B342" s="246">
        <v>329</v>
      </c>
      <c r="C342" s="241">
        <f t="shared" si="276"/>
        <v>52692</v>
      </c>
      <c r="D342" s="229">
        <f t="shared" si="232"/>
        <v>4</v>
      </c>
      <c r="E342" s="230" t="str">
        <f t="shared" si="233"/>
        <v>-</v>
      </c>
      <c r="F342" s="231">
        <f t="shared" si="234"/>
        <v>0</v>
      </c>
      <c r="G342" s="231">
        <f t="shared" si="235"/>
        <v>0</v>
      </c>
      <c r="H342" s="231">
        <f t="shared" si="236"/>
        <v>0</v>
      </c>
      <c r="I342" s="268">
        <f t="shared" si="267"/>
        <v>0</v>
      </c>
      <c r="J342" s="269">
        <f t="shared" si="237"/>
        <v>0</v>
      </c>
      <c r="K342" s="269">
        <f t="shared" si="238"/>
        <v>0</v>
      </c>
      <c r="L342" s="269">
        <f t="shared" si="268"/>
        <v>0</v>
      </c>
      <c r="M342" s="269">
        <f t="shared" si="269"/>
        <v>0</v>
      </c>
      <c r="N342" s="233">
        <f>VLOOKUP(B342,Dados!$L$86:$P$90,5)</f>
        <v>0</v>
      </c>
      <c r="O342" s="270">
        <f t="shared" si="239"/>
        <v>0.99999999999999989</v>
      </c>
      <c r="P342" s="269">
        <f t="shared" si="240"/>
        <v>0</v>
      </c>
      <c r="Q342" s="269" t="e">
        <f t="shared" si="241"/>
        <v>#DIV/0!</v>
      </c>
      <c r="R342" s="269">
        <f t="shared" si="242"/>
        <v>0</v>
      </c>
      <c r="S342" s="269" t="e">
        <f t="shared" si="243"/>
        <v>#DIV/0!</v>
      </c>
      <c r="T342" s="269" t="e">
        <f t="shared" si="275"/>
        <v>#DIV/0!</v>
      </c>
      <c r="U342" s="234">
        <f t="shared" si="244"/>
        <v>0</v>
      </c>
      <c r="V342" s="232" t="e">
        <f t="shared" si="245"/>
        <v>#DIV/0!</v>
      </c>
      <c r="W342" s="269" t="e">
        <f t="shared" si="246"/>
        <v>#DIV/0!</v>
      </c>
      <c r="X342" s="235">
        <f t="shared" si="270"/>
        <v>0</v>
      </c>
      <c r="Y342" s="236">
        <f t="shared" si="247"/>
        <v>5</v>
      </c>
      <c r="Z342" s="236" t="e">
        <f t="shared" si="248"/>
        <v>#DIV/0!</v>
      </c>
      <c r="AA342" s="236">
        <f t="shared" si="249"/>
        <v>3</v>
      </c>
      <c r="AB342" s="236" t="e">
        <f t="shared" si="250"/>
        <v>#DIV/0!</v>
      </c>
      <c r="AC342" s="235">
        <f t="shared" si="251"/>
        <v>0</v>
      </c>
      <c r="AD342" s="235">
        <f t="shared" si="252"/>
        <v>0</v>
      </c>
      <c r="AE342" s="279">
        <f t="shared" si="253"/>
        <v>0</v>
      </c>
      <c r="AF342" s="232">
        <f t="shared" si="254"/>
        <v>0</v>
      </c>
      <c r="AG342" s="235">
        <f t="shared" si="255"/>
        <v>0</v>
      </c>
      <c r="AH342" s="269">
        <f t="shared" si="256"/>
        <v>0</v>
      </c>
      <c r="AI342" s="232">
        <f t="shared" si="257"/>
        <v>0</v>
      </c>
      <c r="AJ342" s="235">
        <f t="shared" si="258"/>
        <v>0</v>
      </c>
      <c r="AK342" s="269">
        <f t="shared" si="259"/>
        <v>0</v>
      </c>
      <c r="AL342" s="269">
        <f t="shared" si="271"/>
        <v>0</v>
      </c>
      <c r="AM342" s="281" t="e">
        <f>IF(B342&gt;=mpfo,pos*vvm*Dados!$E$122*(ntudv-SUM(U$301:$U343))-SUM($AM$13:AM341),0)</f>
        <v>#DIV/0!</v>
      </c>
      <c r="AN342" s="269" t="e">
        <f t="shared" si="260"/>
        <v>#DIV/0!</v>
      </c>
      <c r="AO342" s="232" t="e">
        <f t="shared" si="261"/>
        <v>#DIV/0!</v>
      </c>
      <c r="AP342" s="242" t="e">
        <f t="shared" si="262"/>
        <v>#DIV/0!</v>
      </c>
      <c r="AQ342" s="235" t="e">
        <f>IF(AP342+SUM($AQ$12:AQ341)&gt;=0,0,-AP342-SUM($AQ$12:AQ341))</f>
        <v>#DIV/0!</v>
      </c>
      <c r="AR342" s="235">
        <f>IF(SUM($N$13:N341)&gt;=pmo,IF(SUM(N341:$N$501)&gt;(1-pmo),B342,0),0)</f>
        <v>0</v>
      </c>
      <c r="AS342" s="235" t="e">
        <f>IF((SUM($U$13:$U341)/ntudv)&gt;=pmv,IF((SUM($U341:$U$501)/ntudv)&gt;(1-pmv),B342,0),0)</f>
        <v>#DIV/0!</v>
      </c>
      <c r="AT342" s="237" t="e">
        <f>IF(MAX(mmo,mmv)=mmo,IF(B342=AR342,(SUM(N$13:$N341)-pmo)/((1-VLOOKUP(MAX(mmo,mmv)-1,$B$13:$O$501,14))+(VLOOKUP(MAX(mmo,mmv)-1,$B$13:$O$501,14)-pmo)),N341/((1-VLOOKUP(MAX(mmo,mmv)-1,$B$13:$O$501,14)+(VLOOKUP(MAX(mmo,mmv)-1,$B$13:$O$501,14)-pmo)))),N341/(1-VLOOKUP(MAX(mmo,mmv)-2,$B$13:$O$501,14)))</f>
        <v>#DIV/0!</v>
      </c>
      <c r="AU342" s="101" t="e">
        <f t="shared" si="272"/>
        <v>#DIV/0!</v>
      </c>
      <c r="AV342" s="287" t="e">
        <f t="shared" si="273"/>
        <v>#DIV/0!</v>
      </c>
      <c r="AW342" s="235" t="e">
        <f t="shared" si="263"/>
        <v>#DIV/0!</v>
      </c>
      <c r="AX342" s="281">
        <f>IF(B342&gt;mpfo,0,IF(B342=mpfo,(vld-teo*(1+tcfo-incc)^(MAX(mmo,mmv)-mbfo))*-1,IF(SUM($N$13:N341)&gt;=pmo,IF(($V341/ntudv)&gt;=pmv,IF(B342=MAX(mmo,mmv),-teo*(1+tcfo-incc)^(B342-mbfo),0),0),0)))</f>
        <v>0</v>
      </c>
      <c r="AY342" s="292" t="e">
        <f t="shared" si="274"/>
        <v>#DIV/0!</v>
      </c>
      <c r="AZ342" s="235" t="e">
        <f t="shared" si="264"/>
        <v>#DIV/0!</v>
      </c>
      <c r="BA342" s="269" t="e">
        <f t="shared" si="265"/>
        <v>#DIV/0!</v>
      </c>
      <c r="BB342" s="292" t="e">
        <f t="shared" si="266"/>
        <v>#DIV/0!</v>
      </c>
      <c r="BC342" s="238" t="e">
        <f>IF(SUM($BC$13:BC341)&gt;0,0,IF(BB342&gt;0,B342,0))</f>
        <v>#DIV/0!</v>
      </c>
      <c r="BD342" s="292" t="e">
        <f>IF(BB342+SUM($BD$12:BD341)&gt;=0,0,-BB342-SUM($BD$12:BD341))</f>
        <v>#DIV/0!</v>
      </c>
      <c r="BE342" s="235" t="e">
        <f>BB342+SUM($BD$12:BD342)</f>
        <v>#DIV/0!</v>
      </c>
      <c r="BF342" s="292" t="e">
        <f>-MIN(BE342:$BE$501)-SUM(BF$12:$BF341)</f>
        <v>#DIV/0!</v>
      </c>
      <c r="BG342" s="235" t="e">
        <f t="shared" si="277"/>
        <v>#DIV/0!</v>
      </c>
    </row>
    <row r="343" spans="2:59">
      <c r="B343" s="120">
        <v>330</v>
      </c>
      <c r="C343" s="241">
        <f t="shared" si="276"/>
        <v>52722</v>
      </c>
      <c r="D343" s="229">
        <f t="shared" si="232"/>
        <v>5</v>
      </c>
      <c r="E343" s="230" t="str">
        <f t="shared" si="233"/>
        <v>-</v>
      </c>
      <c r="F343" s="231">
        <f t="shared" si="234"/>
        <v>0</v>
      </c>
      <c r="G343" s="231">
        <f t="shared" si="235"/>
        <v>0</v>
      </c>
      <c r="H343" s="231">
        <f t="shared" si="236"/>
        <v>0</v>
      </c>
      <c r="I343" s="268">
        <f t="shared" si="267"/>
        <v>0</v>
      </c>
      <c r="J343" s="269">
        <f t="shared" si="237"/>
        <v>0</v>
      </c>
      <c r="K343" s="269">
        <f t="shared" si="238"/>
        <v>0</v>
      </c>
      <c r="L343" s="269">
        <f t="shared" si="268"/>
        <v>0</v>
      </c>
      <c r="M343" s="269">
        <f t="shared" si="269"/>
        <v>0</v>
      </c>
      <c r="N343" s="233">
        <f>VLOOKUP(B343,Dados!$L$86:$P$90,5)</f>
        <v>0</v>
      </c>
      <c r="O343" s="270">
        <f t="shared" si="239"/>
        <v>0.99999999999999989</v>
      </c>
      <c r="P343" s="269">
        <f t="shared" si="240"/>
        <v>0</v>
      </c>
      <c r="Q343" s="269" t="e">
        <f t="shared" si="241"/>
        <v>#DIV/0!</v>
      </c>
      <c r="R343" s="269">
        <f t="shared" si="242"/>
        <v>0</v>
      </c>
      <c r="S343" s="269" t="e">
        <f t="shared" si="243"/>
        <v>#DIV/0!</v>
      </c>
      <c r="T343" s="269" t="e">
        <f t="shared" si="275"/>
        <v>#DIV/0!</v>
      </c>
      <c r="U343" s="234">
        <f t="shared" si="244"/>
        <v>0</v>
      </c>
      <c r="V343" s="232" t="e">
        <f t="shared" si="245"/>
        <v>#DIV/0!</v>
      </c>
      <c r="W343" s="269" t="e">
        <f t="shared" si="246"/>
        <v>#DIV/0!</v>
      </c>
      <c r="X343" s="235">
        <f t="shared" si="270"/>
        <v>0</v>
      </c>
      <c r="Y343" s="236">
        <f t="shared" si="247"/>
        <v>5</v>
      </c>
      <c r="Z343" s="236" t="e">
        <f t="shared" si="248"/>
        <v>#DIV/0!</v>
      </c>
      <c r="AA343" s="236">
        <f t="shared" si="249"/>
        <v>3</v>
      </c>
      <c r="AB343" s="236" t="e">
        <f t="shared" si="250"/>
        <v>#DIV/0!</v>
      </c>
      <c r="AC343" s="235">
        <f t="shared" si="251"/>
        <v>0</v>
      </c>
      <c r="AD343" s="235">
        <f t="shared" si="252"/>
        <v>0</v>
      </c>
      <c r="AE343" s="279">
        <f t="shared" si="253"/>
        <v>0</v>
      </c>
      <c r="AF343" s="232">
        <f t="shared" si="254"/>
        <v>0</v>
      </c>
      <c r="AG343" s="235">
        <f t="shared" si="255"/>
        <v>0</v>
      </c>
      <c r="AH343" s="269">
        <f t="shared" si="256"/>
        <v>0</v>
      </c>
      <c r="AI343" s="232">
        <f t="shared" si="257"/>
        <v>0</v>
      </c>
      <c r="AJ343" s="235">
        <f t="shared" si="258"/>
        <v>0</v>
      </c>
      <c r="AK343" s="269">
        <f t="shared" si="259"/>
        <v>0</v>
      </c>
      <c r="AL343" s="269">
        <f t="shared" si="271"/>
        <v>0</v>
      </c>
      <c r="AM343" s="281" t="e">
        <f>IF(B343&gt;=mpfo,pos*vvm*Dados!$E$122*(ntudv-SUM(U$301:$U344))-SUM($AM$13:AM342),0)</f>
        <v>#DIV/0!</v>
      </c>
      <c r="AN343" s="269" t="e">
        <f t="shared" si="260"/>
        <v>#DIV/0!</v>
      </c>
      <c r="AO343" s="232" t="e">
        <f t="shared" si="261"/>
        <v>#DIV/0!</v>
      </c>
      <c r="AP343" s="242" t="e">
        <f t="shared" si="262"/>
        <v>#DIV/0!</v>
      </c>
      <c r="AQ343" s="235" t="e">
        <f>IF(AP343+SUM($AQ$12:AQ342)&gt;=0,0,-AP343-SUM($AQ$12:AQ342))</f>
        <v>#DIV/0!</v>
      </c>
      <c r="AR343" s="235">
        <f>IF(SUM($N$13:N342)&gt;=pmo,IF(SUM(N342:$N$501)&gt;(1-pmo),B343,0),0)</f>
        <v>0</v>
      </c>
      <c r="AS343" s="235" t="e">
        <f>IF((SUM($U$13:$U342)/ntudv)&gt;=pmv,IF((SUM($U342:$U$501)/ntudv)&gt;(1-pmv),B343,0),0)</f>
        <v>#DIV/0!</v>
      </c>
      <c r="AT343" s="237" t="e">
        <f>IF(MAX(mmo,mmv)=mmo,IF(B343=AR343,(SUM(N$13:$N342)-pmo)/((1-VLOOKUP(MAX(mmo,mmv)-1,$B$13:$O$501,14))+(VLOOKUP(MAX(mmo,mmv)-1,$B$13:$O$501,14)-pmo)),N342/((1-VLOOKUP(MAX(mmo,mmv)-1,$B$13:$O$501,14)+(VLOOKUP(MAX(mmo,mmv)-1,$B$13:$O$501,14)-pmo)))),N342/(1-VLOOKUP(MAX(mmo,mmv)-2,$B$13:$O$501,14)))</f>
        <v>#DIV/0!</v>
      </c>
      <c r="AU343" s="101" t="e">
        <f t="shared" si="272"/>
        <v>#DIV/0!</v>
      </c>
      <c r="AV343" s="287" t="e">
        <f t="shared" si="273"/>
        <v>#DIV/0!</v>
      </c>
      <c r="AW343" s="235" t="e">
        <f t="shared" si="263"/>
        <v>#DIV/0!</v>
      </c>
      <c r="AX343" s="281">
        <f>IF(B343&gt;mpfo,0,IF(B343=mpfo,(vld-teo*(1+tcfo-incc)^(MAX(mmo,mmv)-mbfo))*-1,IF(SUM($N$13:N342)&gt;=pmo,IF(($V342/ntudv)&gt;=pmv,IF(B343=MAX(mmo,mmv),-teo*(1+tcfo-incc)^(B343-mbfo),0),0),0)))</f>
        <v>0</v>
      </c>
      <c r="AY343" s="292" t="e">
        <f t="shared" si="274"/>
        <v>#DIV/0!</v>
      </c>
      <c r="AZ343" s="235" t="e">
        <f t="shared" si="264"/>
        <v>#DIV/0!</v>
      </c>
      <c r="BA343" s="269" t="e">
        <f t="shared" si="265"/>
        <v>#DIV/0!</v>
      </c>
      <c r="BB343" s="292" t="e">
        <f t="shared" si="266"/>
        <v>#DIV/0!</v>
      </c>
      <c r="BC343" s="238" t="e">
        <f>IF(SUM($BC$13:BC342)&gt;0,0,IF(BB343&gt;0,B343,0))</f>
        <v>#DIV/0!</v>
      </c>
      <c r="BD343" s="292" t="e">
        <f>IF(BB343+SUM($BD$12:BD342)&gt;=0,0,-BB343-SUM($BD$12:BD342))</f>
        <v>#DIV/0!</v>
      </c>
      <c r="BE343" s="235" t="e">
        <f>BB343+SUM($BD$12:BD343)</f>
        <v>#DIV/0!</v>
      </c>
      <c r="BF343" s="292" t="e">
        <f>-MIN(BE343:$BE$501)-SUM(BF$12:$BF342)</f>
        <v>#DIV/0!</v>
      </c>
      <c r="BG343" s="235" t="e">
        <f t="shared" si="277"/>
        <v>#DIV/0!</v>
      </c>
    </row>
    <row r="344" spans="2:59">
      <c r="B344" s="246">
        <v>331</v>
      </c>
      <c r="C344" s="241">
        <f t="shared" si="276"/>
        <v>52753</v>
      </c>
      <c r="D344" s="229">
        <f t="shared" ref="D344:D407" si="278">MONTH(C344)</f>
        <v>6</v>
      </c>
      <c r="E344" s="230" t="str">
        <f t="shared" ref="E344:E407" si="279">IF(B344=mpo,"Outorga",IF(B344=mpt,"Terreno",IF(B344=mlan,"Lançamento", IF(B344=mio,"Inic. Obras",IF(B344=mio+prazo-1,"Concl. Obras",IF(B344=mec,"Chaves", IF(B344=mpfo,"Pgto. Financ.","-")))))))</f>
        <v>-</v>
      </c>
      <c r="F344" s="231">
        <f t="shared" ref="F344:F407" si="280">IF(B344=mpo, voo,0)</f>
        <v>0</v>
      </c>
      <c r="G344" s="231">
        <f t="shared" ref="G344:G407" si="281">IF(B344&gt;(mpt+npt),0,IF(B344&lt;(mpt+npt+1),IF(B344&gt;mpt,(vtd-vst)/npt/(igpm+1)^B344,IF(B344=mpt,vst/(igpm+1)^B344,0))))</f>
        <v>0</v>
      </c>
      <c r="H344" s="231">
        <f t="shared" ref="H344:H407" si="282">IF(B344&gt;(mpt+npt),0,IF(B344&lt;(mpt+npt+1),IF(B344&gt;mpt,(vtd-vst)/npt/(delta+1)^B344,IF(B344=mpt,vst/(delta+1)^B344,0))))</f>
        <v>0</v>
      </c>
      <c r="I344" s="268">
        <f t="shared" si="267"/>
        <v>0</v>
      </c>
      <c r="J344" s="269">
        <f t="shared" ref="J344:J407" si="283">IF(B344=mpdt,dtt,0)*-1</f>
        <v>0</v>
      </c>
      <c r="K344" s="269">
        <f t="shared" ref="K344:K407" si="284">IF(B344&gt;mdji+npdji,0,IF(B344&lt;mdji+npdji,IF(B344&gt;=mdji,dji*vgv/npdji,0),0))*-1</f>
        <v>0</v>
      </c>
      <c r="L344" s="269">
        <f t="shared" si="268"/>
        <v>0</v>
      </c>
      <c r="M344" s="269">
        <f t="shared" si="269"/>
        <v>0</v>
      </c>
      <c r="N344" s="233">
        <f>VLOOKUP(B344,Dados!$L$86:$P$90,5)</f>
        <v>0</v>
      </c>
      <c r="O344" s="270">
        <f t="shared" ref="O344:O407" si="285">N344+O343</f>
        <v>0.99999999999999989</v>
      </c>
      <c r="P344" s="269">
        <f t="shared" ref="P344:P407" si="286">N344*cto*-1</f>
        <v>0</v>
      </c>
      <c r="Q344" s="269" t="e">
        <f t="shared" ref="Q344:Q407" si="287">AN344*pimp*-1</f>
        <v>#DIV/0!</v>
      </c>
      <c r="R344" s="269">
        <f t="shared" ref="R344:R407" si="288">IF(B344&gt;=1,IF(B344&lt;=(mec+6),padm*vgv/(mec+6),0),0)*-1</f>
        <v>0</v>
      </c>
      <c r="S344" s="269" t="e">
        <f t="shared" ref="S344:S407" si="289">U344*vvm*pcorr*-1</f>
        <v>#DIV/0!</v>
      </c>
      <c r="T344" s="269" t="e">
        <f t="shared" si="275"/>
        <v>#DIV/0!</v>
      </c>
      <c r="U344" s="234">
        <f t="shared" ref="U344:U407" si="290">VLOOKUP(B344,tabvv,4)</f>
        <v>0</v>
      </c>
      <c r="V344" s="232" t="e">
        <f t="shared" ref="V344:V407" si="291">V343+U344</f>
        <v>#DIV/0!</v>
      </c>
      <c r="W344" s="269" t="e">
        <f t="shared" ref="W344:W407" si="292">U344*vvm*sinal+X344+Z344+AB344</f>
        <v>#DIV/0!</v>
      </c>
      <c r="X344" s="235">
        <f t="shared" si="270"/>
        <v>0</v>
      </c>
      <c r="Y344" s="236">
        <f t="shared" ref="Y344:Y407" si="293">IF($B344&gt;mlan+5,IF($B344&lt;=mco,Y343+$AF343,+Y343),0)</f>
        <v>5</v>
      </c>
      <c r="Z344" s="236" t="e">
        <f t="shared" ref="Z344:Z407" si="294">Y344*vvm*sem*U344/npse</f>
        <v>#DIV/0!</v>
      </c>
      <c r="AA344" s="236">
        <f t="shared" ref="AA344:AA407" si="295">IF($B344&gt;mlan+5,IF($B344&lt;=mco,AA343+$AI343,+AA343),0)</f>
        <v>3</v>
      </c>
      <c r="AB344" s="236" t="e">
        <f t="shared" ref="AB344:AB407" si="296">AA344*vvm*anu*U344/npa</f>
        <v>#DIV/0!</v>
      </c>
      <c r="AC344" s="235">
        <f t="shared" ref="AC344:AC407" si="297">IF(B344&gt;=mec,0,V343*mdo*vvm/npm)</f>
        <v>0</v>
      </c>
      <c r="AD344" s="235">
        <f t="shared" ref="AD344:AD407" si="298">IF(B344&gt;mec,IF(B344&lt;=mec+npfd,pmtfd*nufd,0),0)</f>
        <v>0</v>
      </c>
      <c r="AE344" s="279">
        <f t="shared" ref="AE344:AE407" si="299">AD344+AC344</f>
        <v>0</v>
      </c>
      <c r="AF344" s="232">
        <f t="shared" ref="AF344:AF407" si="300">IF(D344=6,1,IF(D344=12,1,0))</f>
        <v>1</v>
      </c>
      <c r="AG344" s="235">
        <f t="shared" ref="AG344:AG407" si="301">IF($B344&gt;mlan+5,IF($B344&lt;=mco,$AG343+$AF344,0),0)</f>
        <v>0</v>
      </c>
      <c r="AH344" s="269">
        <f t="shared" ref="AH344:AH407" si="302">IF(B344&gt;=mlan+5,IF(B344&lt;=mco,V344*vvm*sem*AF344/npse,0),0)</f>
        <v>0</v>
      </c>
      <c r="AI344" s="232">
        <f t="shared" ref="AI344:AI407" si="303">IF(D344=12,1,0)</f>
        <v>0</v>
      </c>
      <c r="AJ344" s="235">
        <f t="shared" ref="AJ344:AJ407" si="304">IF(B343&gt;=mlan+5,IF(B343&lt;mco,AJ343+AI344,0),0)</f>
        <v>0</v>
      </c>
      <c r="AK344" s="269">
        <f t="shared" ref="AK344:AK407" si="305">IF(B344&lt;=mco,IF(B344&gt;=mlan+5,V344*vvm*anu/npa*AI344,0),0)</f>
        <v>0</v>
      </c>
      <c r="AL344" s="269">
        <f t="shared" si="271"/>
        <v>0</v>
      </c>
      <c r="AM344" s="281" t="e">
        <f>IF(B344&gt;=mpfo,pos*vvm*Dados!$E$122*(ntudv-SUM(U$301:$U345))-SUM($AM$13:AM343),0)</f>
        <v>#DIV/0!</v>
      </c>
      <c r="AN344" s="269" t="e">
        <f t="shared" ref="AN344:AN407" si="306">AL344+AK344+AH344+AE344+W344+AM344</f>
        <v>#DIV/0!</v>
      </c>
      <c r="AO344" s="232" t="e">
        <f t="shared" ref="AO344:AO407" si="307">AN344+T344</f>
        <v>#DIV/0!</v>
      </c>
      <c r="AP344" s="242" t="e">
        <f t="shared" ref="AP344:AP407" si="308">AP343+AO344</f>
        <v>#DIV/0!</v>
      </c>
      <c r="AQ344" s="235" t="e">
        <f>IF(AP344+SUM($AQ$12:AQ343)&gt;=0,0,-AP344-SUM($AQ$12:AQ343))</f>
        <v>#DIV/0!</v>
      </c>
      <c r="AR344" s="235">
        <f>IF(SUM($N$13:N343)&gt;=pmo,IF(SUM(N343:$N$501)&gt;(1-pmo),B344,0),0)</f>
        <v>0</v>
      </c>
      <c r="AS344" s="235" t="e">
        <f>IF((SUM($U$13:$U343)/ntudv)&gt;=pmv,IF((SUM($U343:$U$501)/ntudv)&gt;(1-pmv),B344,0),0)</f>
        <v>#DIV/0!</v>
      </c>
      <c r="AT344" s="237" t="e">
        <f>IF(MAX(mmo,mmv)=mmo,IF(B344=AR344,(SUM(N$13:$N343)-pmo)/((1-VLOOKUP(MAX(mmo,mmv)-1,$B$13:$O$501,14))+(VLOOKUP(MAX(mmo,mmv)-1,$B$13:$O$501,14)-pmo)),N343/((1-VLOOKUP(MAX(mmo,mmv)-1,$B$13:$O$501,14)+(VLOOKUP(MAX(mmo,mmv)-1,$B$13:$O$501,14)-pmo)))),N343/(1-VLOOKUP(MAX(mmo,mmv)-2,$B$13:$O$501,14)))</f>
        <v>#DIV/0!</v>
      </c>
      <c r="AU344" s="101" t="e">
        <f t="shared" si="272"/>
        <v>#DIV/0!</v>
      </c>
      <c r="AV344" s="287" t="e">
        <f t="shared" si="273"/>
        <v>#DIV/0!</v>
      </c>
      <c r="AW344" s="235" t="e">
        <f t="shared" ref="AW344:AW407" si="309">AV344+AZ343*(1+jfo)</f>
        <v>#DIV/0!</v>
      </c>
      <c r="AX344" s="281">
        <f>IF(B344&gt;mpfo,0,IF(B344=mpfo,(vld-teo*(1+tcfo-incc)^(MAX(mmo,mmv)-mbfo))*-1,IF(SUM($N$13:N343)&gt;=pmo,IF(($V343/ntudv)&gt;=pmv,IF(B344=MAX(mmo,mmv),-teo*(1+tcfo-incc)^(B344-mbfo),0),0),0)))</f>
        <v>0</v>
      </c>
      <c r="AY344" s="292" t="e">
        <f t="shared" si="274"/>
        <v>#DIV/0!</v>
      </c>
      <c r="AZ344" s="235" t="e">
        <f t="shared" ref="AZ344:AZ407" si="310">AW344+AX344+AY344</f>
        <v>#DIV/0!</v>
      </c>
      <c r="BA344" s="269" t="e">
        <f t="shared" ref="BA344:BA407" si="311">AO344+AV344+AX344+AY344</f>
        <v>#DIV/0!</v>
      </c>
      <c r="BB344" s="292" t="e">
        <f t="shared" ref="BB344:BB407" si="312">BB343+BA344</f>
        <v>#DIV/0!</v>
      </c>
      <c r="BC344" s="238" t="e">
        <f>IF(SUM($BC$13:BC343)&gt;0,0,IF(BB344&gt;0,B344,0))</f>
        <v>#DIV/0!</v>
      </c>
      <c r="BD344" s="292" t="e">
        <f>IF(BB344+SUM($BD$12:BD343)&gt;=0,0,-BB344-SUM($BD$12:BD343))</f>
        <v>#DIV/0!</v>
      </c>
      <c r="BE344" s="235" t="e">
        <f>BB344+SUM($BD$12:BD344)</f>
        <v>#DIV/0!</v>
      </c>
      <c r="BF344" s="292" t="e">
        <f>-MIN(BE344:$BE$501)-SUM(BF$12:$BF343)</f>
        <v>#DIV/0!</v>
      </c>
      <c r="BG344" s="235" t="e">
        <f t="shared" si="277"/>
        <v>#DIV/0!</v>
      </c>
    </row>
    <row r="345" spans="2:59">
      <c r="B345" s="120">
        <v>332</v>
      </c>
      <c r="C345" s="241">
        <f t="shared" si="276"/>
        <v>52783</v>
      </c>
      <c r="D345" s="229">
        <f t="shared" si="278"/>
        <v>7</v>
      </c>
      <c r="E345" s="230" t="str">
        <f t="shared" si="279"/>
        <v>-</v>
      </c>
      <c r="F345" s="231">
        <f t="shared" si="280"/>
        <v>0</v>
      </c>
      <c r="G345" s="231">
        <f t="shared" si="281"/>
        <v>0</v>
      </c>
      <c r="H345" s="231">
        <f t="shared" si="282"/>
        <v>0</v>
      </c>
      <c r="I345" s="268">
        <f t="shared" si="267"/>
        <v>0</v>
      </c>
      <c r="J345" s="269">
        <f t="shared" si="283"/>
        <v>0</v>
      </c>
      <c r="K345" s="269">
        <f t="shared" si="284"/>
        <v>0</v>
      </c>
      <c r="L345" s="269">
        <f t="shared" si="268"/>
        <v>0</v>
      </c>
      <c r="M345" s="269">
        <f t="shared" si="269"/>
        <v>0</v>
      </c>
      <c r="N345" s="233">
        <f>VLOOKUP(B345,Dados!$L$86:$P$90,5)</f>
        <v>0</v>
      </c>
      <c r="O345" s="270">
        <f t="shared" si="285"/>
        <v>0.99999999999999989</v>
      </c>
      <c r="P345" s="269">
        <f t="shared" si="286"/>
        <v>0</v>
      </c>
      <c r="Q345" s="269" t="e">
        <f t="shared" si="287"/>
        <v>#DIV/0!</v>
      </c>
      <c r="R345" s="269">
        <f t="shared" si="288"/>
        <v>0</v>
      </c>
      <c r="S345" s="269" t="e">
        <f t="shared" si="289"/>
        <v>#DIV/0!</v>
      </c>
      <c r="T345" s="269" t="e">
        <f t="shared" si="275"/>
        <v>#DIV/0!</v>
      </c>
      <c r="U345" s="234">
        <f t="shared" si="290"/>
        <v>0</v>
      </c>
      <c r="V345" s="232" t="e">
        <f t="shared" si="291"/>
        <v>#DIV/0!</v>
      </c>
      <c r="W345" s="269" t="e">
        <f t="shared" si="292"/>
        <v>#DIV/0!</v>
      </c>
      <c r="X345" s="235">
        <f t="shared" si="270"/>
        <v>0</v>
      </c>
      <c r="Y345" s="236">
        <f t="shared" si="293"/>
        <v>5</v>
      </c>
      <c r="Z345" s="236" t="e">
        <f t="shared" si="294"/>
        <v>#DIV/0!</v>
      </c>
      <c r="AA345" s="236">
        <f t="shared" si="295"/>
        <v>3</v>
      </c>
      <c r="AB345" s="236" t="e">
        <f t="shared" si="296"/>
        <v>#DIV/0!</v>
      </c>
      <c r="AC345" s="235">
        <f t="shared" si="297"/>
        <v>0</v>
      </c>
      <c r="AD345" s="235">
        <f t="shared" si="298"/>
        <v>0</v>
      </c>
      <c r="AE345" s="279">
        <f t="shared" si="299"/>
        <v>0</v>
      </c>
      <c r="AF345" s="232">
        <f t="shared" si="300"/>
        <v>0</v>
      </c>
      <c r="AG345" s="235">
        <f t="shared" si="301"/>
        <v>0</v>
      </c>
      <c r="AH345" s="269">
        <f t="shared" si="302"/>
        <v>0</v>
      </c>
      <c r="AI345" s="232">
        <f t="shared" si="303"/>
        <v>0</v>
      </c>
      <c r="AJ345" s="235">
        <f t="shared" si="304"/>
        <v>0</v>
      </c>
      <c r="AK345" s="269">
        <f t="shared" si="305"/>
        <v>0</v>
      </c>
      <c r="AL345" s="269">
        <f t="shared" si="271"/>
        <v>0</v>
      </c>
      <c r="AM345" s="281" t="e">
        <f>IF(B345&gt;=mpfo,pos*vvm*Dados!$E$122*(ntudv-SUM(U$301:$U346))-SUM($AM$13:AM344),0)</f>
        <v>#DIV/0!</v>
      </c>
      <c r="AN345" s="269" t="e">
        <f t="shared" si="306"/>
        <v>#DIV/0!</v>
      </c>
      <c r="AO345" s="232" t="e">
        <f t="shared" si="307"/>
        <v>#DIV/0!</v>
      </c>
      <c r="AP345" s="242" t="e">
        <f t="shared" si="308"/>
        <v>#DIV/0!</v>
      </c>
      <c r="AQ345" s="235" t="e">
        <f>IF(AP345+SUM($AQ$12:AQ344)&gt;=0,0,-AP345-SUM($AQ$12:AQ344))</f>
        <v>#DIV/0!</v>
      </c>
      <c r="AR345" s="235">
        <f>IF(SUM($N$13:N344)&gt;=pmo,IF(SUM(N344:$N$501)&gt;(1-pmo),B345,0),0)</f>
        <v>0</v>
      </c>
      <c r="AS345" s="235" t="e">
        <f>IF((SUM($U$13:$U344)/ntudv)&gt;=pmv,IF((SUM($U344:$U$501)/ntudv)&gt;(1-pmv),B345,0),0)</f>
        <v>#DIV/0!</v>
      </c>
      <c r="AT345" s="237" t="e">
        <f>IF(MAX(mmo,mmv)=mmo,IF(B345=AR345,(SUM(N$13:$N344)-pmo)/((1-VLOOKUP(MAX(mmo,mmv)-1,$B$13:$O$501,14))+(VLOOKUP(MAX(mmo,mmv)-1,$B$13:$O$501,14)-pmo)),N344/((1-VLOOKUP(MAX(mmo,mmv)-1,$B$13:$O$501,14)+(VLOOKUP(MAX(mmo,mmv)-1,$B$13:$O$501,14)-pmo)))),N344/(1-VLOOKUP(MAX(mmo,mmv)-2,$B$13:$O$501,14)))</f>
        <v>#DIV/0!</v>
      </c>
      <c r="AU345" s="101" t="e">
        <f t="shared" si="272"/>
        <v>#DIV/0!</v>
      </c>
      <c r="AV345" s="287" t="e">
        <f t="shared" si="273"/>
        <v>#DIV/0!</v>
      </c>
      <c r="AW345" s="235" t="e">
        <f t="shared" si="309"/>
        <v>#DIV/0!</v>
      </c>
      <c r="AX345" s="281">
        <f>IF(B345&gt;mpfo,0,IF(B345=mpfo,(vld-teo*(1+tcfo-incc)^(MAX(mmo,mmv)-mbfo))*-1,IF(SUM($N$13:N344)&gt;=pmo,IF(($V344/ntudv)&gt;=pmv,IF(B345=MAX(mmo,mmv),-teo*(1+tcfo-incc)^(B345-mbfo),0),0),0)))</f>
        <v>0</v>
      </c>
      <c r="AY345" s="292" t="e">
        <f t="shared" si="274"/>
        <v>#DIV/0!</v>
      </c>
      <c r="AZ345" s="235" t="e">
        <f t="shared" si="310"/>
        <v>#DIV/0!</v>
      </c>
      <c r="BA345" s="269" t="e">
        <f t="shared" si="311"/>
        <v>#DIV/0!</v>
      </c>
      <c r="BB345" s="292" t="e">
        <f t="shared" si="312"/>
        <v>#DIV/0!</v>
      </c>
      <c r="BC345" s="238" t="e">
        <f>IF(SUM($BC$13:BC344)&gt;0,0,IF(BB345&gt;0,B345,0))</f>
        <v>#DIV/0!</v>
      </c>
      <c r="BD345" s="292" t="e">
        <f>IF(BB345+SUM($BD$12:BD344)&gt;=0,0,-BB345-SUM($BD$12:BD344))</f>
        <v>#DIV/0!</v>
      </c>
      <c r="BE345" s="235" t="e">
        <f>BB345+SUM($BD$12:BD345)</f>
        <v>#DIV/0!</v>
      </c>
      <c r="BF345" s="292" t="e">
        <f>-MIN(BE345:$BE$501)-SUM(BF$12:$BF344)</f>
        <v>#DIV/0!</v>
      </c>
      <c r="BG345" s="235" t="e">
        <f t="shared" si="277"/>
        <v>#DIV/0!</v>
      </c>
    </row>
    <row r="346" spans="2:59">
      <c r="B346" s="246">
        <v>333</v>
      </c>
      <c r="C346" s="241">
        <f t="shared" si="276"/>
        <v>52814</v>
      </c>
      <c r="D346" s="229">
        <f t="shared" si="278"/>
        <v>8</v>
      </c>
      <c r="E346" s="230" t="str">
        <f t="shared" si="279"/>
        <v>-</v>
      </c>
      <c r="F346" s="231">
        <f t="shared" si="280"/>
        <v>0</v>
      </c>
      <c r="G346" s="231">
        <f t="shared" si="281"/>
        <v>0</v>
      </c>
      <c r="H346" s="231">
        <f t="shared" si="282"/>
        <v>0</v>
      </c>
      <c r="I346" s="268">
        <f t="shared" si="267"/>
        <v>0</v>
      </c>
      <c r="J346" s="269">
        <f t="shared" si="283"/>
        <v>0</v>
      </c>
      <c r="K346" s="269">
        <f t="shared" si="284"/>
        <v>0</v>
      </c>
      <c r="L346" s="269">
        <f t="shared" si="268"/>
        <v>0</v>
      </c>
      <c r="M346" s="269">
        <f t="shared" si="269"/>
        <v>0</v>
      </c>
      <c r="N346" s="233">
        <f>VLOOKUP(B346,Dados!$L$86:$P$90,5)</f>
        <v>0</v>
      </c>
      <c r="O346" s="270">
        <f t="shared" si="285"/>
        <v>0.99999999999999989</v>
      </c>
      <c r="P346" s="269">
        <f t="shared" si="286"/>
        <v>0</v>
      </c>
      <c r="Q346" s="269" t="e">
        <f t="shared" si="287"/>
        <v>#DIV/0!</v>
      </c>
      <c r="R346" s="269">
        <f t="shared" si="288"/>
        <v>0</v>
      </c>
      <c r="S346" s="269" t="e">
        <f t="shared" si="289"/>
        <v>#DIV/0!</v>
      </c>
      <c r="T346" s="269" t="e">
        <f t="shared" si="275"/>
        <v>#DIV/0!</v>
      </c>
      <c r="U346" s="234">
        <f t="shared" si="290"/>
        <v>0</v>
      </c>
      <c r="V346" s="232" t="e">
        <f t="shared" si="291"/>
        <v>#DIV/0!</v>
      </c>
      <c r="W346" s="269" t="e">
        <f t="shared" si="292"/>
        <v>#DIV/0!</v>
      </c>
      <c r="X346" s="235">
        <f t="shared" si="270"/>
        <v>0</v>
      </c>
      <c r="Y346" s="236">
        <f t="shared" si="293"/>
        <v>5</v>
      </c>
      <c r="Z346" s="236" t="e">
        <f t="shared" si="294"/>
        <v>#DIV/0!</v>
      </c>
      <c r="AA346" s="236">
        <f t="shared" si="295"/>
        <v>3</v>
      </c>
      <c r="AB346" s="236" t="e">
        <f t="shared" si="296"/>
        <v>#DIV/0!</v>
      </c>
      <c r="AC346" s="235">
        <f t="shared" si="297"/>
        <v>0</v>
      </c>
      <c r="AD346" s="235">
        <f t="shared" si="298"/>
        <v>0</v>
      </c>
      <c r="AE346" s="279">
        <f t="shared" si="299"/>
        <v>0</v>
      </c>
      <c r="AF346" s="232">
        <f t="shared" si="300"/>
        <v>0</v>
      </c>
      <c r="AG346" s="235">
        <f t="shared" si="301"/>
        <v>0</v>
      </c>
      <c r="AH346" s="269">
        <f t="shared" si="302"/>
        <v>0</v>
      </c>
      <c r="AI346" s="232">
        <f t="shared" si="303"/>
        <v>0</v>
      </c>
      <c r="AJ346" s="235">
        <f t="shared" si="304"/>
        <v>0</v>
      </c>
      <c r="AK346" s="269">
        <f t="shared" si="305"/>
        <v>0</v>
      </c>
      <c r="AL346" s="269">
        <f t="shared" si="271"/>
        <v>0</v>
      </c>
      <c r="AM346" s="281" t="e">
        <f>IF(B346&gt;=mpfo,pos*vvm*Dados!$E$122*(ntudv-SUM(U$301:$U347))-SUM($AM$13:AM345),0)</f>
        <v>#DIV/0!</v>
      </c>
      <c r="AN346" s="269" t="e">
        <f t="shared" si="306"/>
        <v>#DIV/0!</v>
      </c>
      <c r="AO346" s="232" t="e">
        <f t="shared" si="307"/>
        <v>#DIV/0!</v>
      </c>
      <c r="AP346" s="242" t="e">
        <f t="shared" si="308"/>
        <v>#DIV/0!</v>
      </c>
      <c r="AQ346" s="235" t="e">
        <f>IF(AP346+SUM($AQ$12:AQ345)&gt;=0,0,-AP346-SUM($AQ$12:AQ345))</f>
        <v>#DIV/0!</v>
      </c>
      <c r="AR346" s="235">
        <f>IF(SUM($N$13:N345)&gt;=pmo,IF(SUM(N345:$N$501)&gt;(1-pmo),B346,0),0)</f>
        <v>0</v>
      </c>
      <c r="AS346" s="235" t="e">
        <f>IF((SUM($U$13:$U345)/ntudv)&gt;=pmv,IF((SUM($U345:$U$501)/ntudv)&gt;(1-pmv),B346,0),0)</f>
        <v>#DIV/0!</v>
      </c>
      <c r="AT346" s="237" t="e">
        <f>IF(MAX(mmo,mmv)=mmo,IF(B346=AR346,(SUM(N$13:$N345)-pmo)/((1-VLOOKUP(MAX(mmo,mmv)-1,$B$13:$O$501,14))+(VLOOKUP(MAX(mmo,mmv)-1,$B$13:$O$501,14)-pmo)),N345/((1-VLOOKUP(MAX(mmo,mmv)-1,$B$13:$O$501,14)+(VLOOKUP(MAX(mmo,mmv)-1,$B$13:$O$501,14)-pmo)))),N345/(1-VLOOKUP(MAX(mmo,mmv)-2,$B$13:$O$501,14)))</f>
        <v>#DIV/0!</v>
      </c>
      <c r="AU346" s="101" t="e">
        <f t="shared" si="272"/>
        <v>#DIV/0!</v>
      </c>
      <c r="AV346" s="287" t="e">
        <f t="shared" si="273"/>
        <v>#DIV/0!</v>
      </c>
      <c r="AW346" s="235" t="e">
        <f t="shared" si="309"/>
        <v>#DIV/0!</v>
      </c>
      <c r="AX346" s="281">
        <f>IF(B346&gt;mpfo,0,IF(B346=mpfo,(vld-teo*(1+tcfo-incc)^(MAX(mmo,mmv)-mbfo))*-1,IF(SUM($N$13:N345)&gt;=pmo,IF(($V345/ntudv)&gt;=pmv,IF(B346=MAX(mmo,mmv),-teo*(1+tcfo-incc)^(B346-mbfo),0),0),0)))</f>
        <v>0</v>
      </c>
      <c r="AY346" s="292" t="e">
        <f t="shared" si="274"/>
        <v>#DIV/0!</v>
      </c>
      <c r="AZ346" s="235" t="e">
        <f t="shared" si="310"/>
        <v>#DIV/0!</v>
      </c>
      <c r="BA346" s="269" t="e">
        <f t="shared" si="311"/>
        <v>#DIV/0!</v>
      </c>
      <c r="BB346" s="292" t="e">
        <f t="shared" si="312"/>
        <v>#DIV/0!</v>
      </c>
      <c r="BC346" s="238" t="e">
        <f>IF(SUM($BC$13:BC345)&gt;0,0,IF(BB346&gt;0,B346,0))</f>
        <v>#DIV/0!</v>
      </c>
      <c r="BD346" s="292" t="e">
        <f>IF(BB346+SUM($BD$12:BD345)&gt;=0,0,-BB346-SUM($BD$12:BD345))</f>
        <v>#DIV/0!</v>
      </c>
      <c r="BE346" s="235" t="e">
        <f>BB346+SUM($BD$12:BD346)</f>
        <v>#DIV/0!</v>
      </c>
      <c r="BF346" s="292" t="e">
        <f>-MIN(BE346:$BE$501)-SUM(BF$12:$BF345)</f>
        <v>#DIV/0!</v>
      </c>
      <c r="BG346" s="235" t="e">
        <f t="shared" si="277"/>
        <v>#DIV/0!</v>
      </c>
    </row>
    <row r="347" spans="2:59">
      <c r="B347" s="120">
        <v>334</v>
      </c>
      <c r="C347" s="241">
        <f t="shared" si="276"/>
        <v>52845</v>
      </c>
      <c r="D347" s="229">
        <f t="shared" si="278"/>
        <v>9</v>
      </c>
      <c r="E347" s="230" t="str">
        <f t="shared" si="279"/>
        <v>-</v>
      </c>
      <c r="F347" s="231">
        <f t="shared" si="280"/>
        <v>0</v>
      </c>
      <c r="G347" s="231">
        <f t="shared" si="281"/>
        <v>0</v>
      </c>
      <c r="H347" s="231">
        <f t="shared" si="282"/>
        <v>0</v>
      </c>
      <c r="I347" s="268">
        <f t="shared" si="267"/>
        <v>0</v>
      </c>
      <c r="J347" s="269">
        <f t="shared" si="283"/>
        <v>0</v>
      </c>
      <c r="K347" s="269">
        <f t="shared" si="284"/>
        <v>0</v>
      </c>
      <c r="L347" s="269">
        <f t="shared" si="268"/>
        <v>0</v>
      </c>
      <c r="M347" s="269">
        <f t="shared" si="269"/>
        <v>0</v>
      </c>
      <c r="N347" s="233">
        <f>VLOOKUP(B347,Dados!$L$86:$P$90,5)</f>
        <v>0</v>
      </c>
      <c r="O347" s="270">
        <f t="shared" si="285"/>
        <v>0.99999999999999989</v>
      </c>
      <c r="P347" s="269">
        <f t="shared" si="286"/>
        <v>0</v>
      </c>
      <c r="Q347" s="269" t="e">
        <f t="shared" si="287"/>
        <v>#DIV/0!</v>
      </c>
      <c r="R347" s="269">
        <f t="shared" si="288"/>
        <v>0</v>
      </c>
      <c r="S347" s="269" t="e">
        <f t="shared" si="289"/>
        <v>#DIV/0!</v>
      </c>
      <c r="T347" s="269" t="e">
        <f t="shared" si="275"/>
        <v>#DIV/0!</v>
      </c>
      <c r="U347" s="234">
        <f t="shared" si="290"/>
        <v>0</v>
      </c>
      <c r="V347" s="232" t="e">
        <f t="shared" si="291"/>
        <v>#DIV/0!</v>
      </c>
      <c r="W347" s="269" t="e">
        <f t="shared" si="292"/>
        <v>#DIV/0!</v>
      </c>
      <c r="X347" s="235">
        <f t="shared" si="270"/>
        <v>0</v>
      </c>
      <c r="Y347" s="236">
        <f t="shared" si="293"/>
        <v>5</v>
      </c>
      <c r="Z347" s="236" t="e">
        <f t="shared" si="294"/>
        <v>#DIV/0!</v>
      </c>
      <c r="AA347" s="236">
        <f t="shared" si="295"/>
        <v>3</v>
      </c>
      <c r="AB347" s="236" t="e">
        <f t="shared" si="296"/>
        <v>#DIV/0!</v>
      </c>
      <c r="AC347" s="235">
        <f t="shared" si="297"/>
        <v>0</v>
      </c>
      <c r="AD347" s="235">
        <f t="shared" si="298"/>
        <v>0</v>
      </c>
      <c r="AE347" s="279">
        <f t="shared" si="299"/>
        <v>0</v>
      </c>
      <c r="AF347" s="232">
        <f t="shared" si="300"/>
        <v>0</v>
      </c>
      <c r="AG347" s="235">
        <f t="shared" si="301"/>
        <v>0</v>
      </c>
      <c r="AH347" s="269">
        <f t="shared" si="302"/>
        <v>0</v>
      </c>
      <c r="AI347" s="232">
        <f t="shared" si="303"/>
        <v>0</v>
      </c>
      <c r="AJ347" s="235">
        <f t="shared" si="304"/>
        <v>0</v>
      </c>
      <c r="AK347" s="269">
        <f t="shared" si="305"/>
        <v>0</v>
      </c>
      <c r="AL347" s="269">
        <f t="shared" si="271"/>
        <v>0</v>
      </c>
      <c r="AM347" s="281" t="e">
        <f>IF(B347&gt;=mpfo,pos*vvm*Dados!$E$122*(ntudv-SUM(U$301:$U348))-SUM($AM$13:AM346),0)</f>
        <v>#DIV/0!</v>
      </c>
      <c r="AN347" s="269" t="e">
        <f t="shared" si="306"/>
        <v>#DIV/0!</v>
      </c>
      <c r="AO347" s="232" t="e">
        <f t="shared" si="307"/>
        <v>#DIV/0!</v>
      </c>
      <c r="AP347" s="242" t="e">
        <f t="shared" si="308"/>
        <v>#DIV/0!</v>
      </c>
      <c r="AQ347" s="235" t="e">
        <f>IF(AP347+SUM($AQ$12:AQ346)&gt;=0,0,-AP347-SUM($AQ$12:AQ346))</f>
        <v>#DIV/0!</v>
      </c>
      <c r="AR347" s="235">
        <f>IF(SUM($N$13:N346)&gt;=pmo,IF(SUM(N346:$N$501)&gt;(1-pmo),B347,0),0)</f>
        <v>0</v>
      </c>
      <c r="AS347" s="235" t="e">
        <f>IF((SUM($U$13:$U346)/ntudv)&gt;=pmv,IF((SUM($U346:$U$501)/ntudv)&gt;(1-pmv),B347,0),0)</f>
        <v>#DIV/0!</v>
      </c>
      <c r="AT347" s="237" t="e">
        <f>IF(MAX(mmo,mmv)=mmo,IF(B347=AR347,(SUM(N$13:$N346)-pmo)/((1-VLOOKUP(MAX(mmo,mmv)-1,$B$13:$O$501,14))+(VLOOKUP(MAX(mmo,mmv)-1,$B$13:$O$501,14)-pmo)),N346/((1-VLOOKUP(MAX(mmo,mmv)-1,$B$13:$O$501,14)+(VLOOKUP(MAX(mmo,mmv)-1,$B$13:$O$501,14)-pmo)))),N346/(1-VLOOKUP(MAX(mmo,mmv)-2,$B$13:$O$501,14)))</f>
        <v>#DIV/0!</v>
      </c>
      <c r="AU347" s="101" t="e">
        <f t="shared" si="272"/>
        <v>#DIV/0!</v>
      </c>
      <c r="AV347" s="287" t="e">
        <f t="shared" si="273"/>
        <v>#DIV/0!</v>
      </c>
      <c r="AW347" s="235" t="e">
        <f t="shared" si="309"/>
        <v>#DIV/0!</v>
      </c>
      <c r="AX347" s="281">
        <f>IF(B347&gt;mpfo,0,IF(B347=mpfo,(vld-teo*(1+tcfo-incc)^(MAX(mmo,mmv)-mbfo))*-1,IF(SUM($N$13:N346)&gt;=pmo,IF(($V346/ntudv)&gt;=pmv,IF(B347=MAX(mmo,mmv),-teo*(1+tcfo-incc)^(B347-mbfo),0),0),0)))</f>
        <v>0</v>
      </c>
      <c r="AY347" s="292" t="e">
        <f t="shared" si="274"/>
        <v>#DIV/0!</v>
      </c>
      <c r="AZ347" s="235" t="e">
        <f t="shared" si="310"/>
        <v>#DIV/0!</v>
      </c>
      <c r="BA347" s="269" t="e">
        <f t="shared" si="311"/>
        <v>#DIV/0!</v>
      </c>
      <c r="BB347" s="292" t="e">
        <f t="shared" si="312"/>
        <v>#DIV/0!</v>
      </c>
      <c r="BC347" s="238" t="e">
        <f>IF(SUM($BC$13:BC346)&gt;0,0,IF(BB347&gt;0,B347,0))</f>
        <v>#DIV/0!</v>
      </c>
      <c r="BD347" s="292" t="e">
        <f>IF(BB347+SUM($BD$12:BD346)&gt;=0,0,-BB347-SUM($BD$12:BD346))</f>
        <v>#DIV/0!</v>
      </c>
      <c r="BE347" s="235" t="e">
        <f>BB347+SUM($BD$12:BD347)</f>
        <v>#DIV/0!</v>
      </c>
      <c r="BF347" s="292" t="e">
        <f>-MIN(BE347:$BE$501)-SUM(BF$12:$BF346)</f>
        <v>#DIV/0!</v>
      </c>
      <c r="BG347" s="235" t="e">
        <f t="shared" si="277"/>
        <v>#DIV/0!</v>
      </c>
    </row>
    <row r="348" spans="2:59">
      <c r="B348" s="246">
        <v>335</v>
      </c>
      <c r="C348" s="241">
        <f t="shared" si="276"/>
        <v>52875</v>
      </c>
      <c r="D348" s="229">
        <f t="shared" si="278"/>
        <v>10</v>
      </c>
      <c r="E348" s="230" t="str">
        <f t="shared" si="279"/>
        <v>-</v>
      </c>
      <c r="F348" s="231">
        <f t="shared" si="280"/>
        <v>0</v>
      </c>
      <c r="G348" s="231">
        <f t="shared" si="281"/>
        <v>0</v>
      </c>
      <c r="H348" s="231">
        <f t="shared" si="282"/>
        <v>0</v>
      </c>
      <c r="I348" s="268">
        <f t="shared" si="267"/>
        <v>0</v>
      </c>
      <c r="J348" s="269">
        <f t="shared" si="283"/>
        <v>0</v>
      </c>
      <c r="K348" s="269">
        <f t="shared" si="284"/>
        <v>0</v>
      </c>
      <c r="L348" s="269">
        <f t="shared" si="268"/>
        <v>0</v>
      </c>
      <c r="M348" s="269">
        <f t="shared" si="269"/>
        <v>0</v>
      </c>
      <c r="N348" s="233">
        <f>VLOOKUP(B348,Dados!$L$86:$P$90,5)</f>
        <v>0</v>
      </c>
      <c r="O348" s="270">
        <f t="shared" si="285"/>
        <v>0.99999999999999989</v>
      </c>
      <c r="P348" s="269">
        <f t="shared" si="286"/>
        <v>0</v>
      </c>
      <c r="Q348" s="269" t="e">
        <f t="shared" si="287"/>
        <v>#DIV/0!</v>
      </c>
      <c r="R348" s="269">
        <f t="shared" si="288"/>
        <v>0</v>
      </c>
      <c r="S348" s="269" t="e">
        <f t="shared" si="289"/>
        <v>#DIV/0!</v>
      </c>
      <c r="T348" s="269" t="e">
        <f t="shared" si="275"/>
        <v>#DIV/0!</v>
      </c>
      <c r="U348" s="234">
        <f t="shared" si="290"/>
        <v>0</v>
      </c>
      <c r="V348" s="232" t="e">
        <f t="shared" si="291"/>
        <v>#DIV/0!</v>
      </c>
      <c r="W348" s="269" t="e">
        <f t="shared" si="292"/>
        <v>#DIV/0!</v>
      </c>
      <c r="X348" s="235">
        <f t="shared" si="270"/>
        <v>0</v>
      </c>
      <c r="Y348" s="236">
        <f t="shared" si="293"/>
        <v>5</v>
      </c>
      <c r="Z348" s="236" t="e">
        <f t="shared" si="294"/>
        <v>#DIV/0!</v>
      </c>
      <c r="AA348" s="236">
        <f t="shared" si="295"/>
        <v>3</v>
      </c>
      <c r="AB348" s="236" t="e">
        <f t="shared" si="296"/>
        <v>#DIV/0!</v>
      </c>
      <c r="AC348" s="235">
        <f t="shared" si="297"/>
        <v>0</v>
      </c>
      <c r="AD348" s="235">
        <f t="shared" si="298"/>
        <v>0</v>
      </c>
      <c r="AE348" s="279">
        <f t="shared" si="299"/>
        <v>0</v>
      </c>
      <c r="AF348" s="232">
        <f t="shared" si="300"/>
        <v>0</v>
      </c>
      <c r="AG348" s="235">
        <f t="shared" si="301"/>
        <v>0</v>
      </c>
      <c r="AH348" s="269">
        <f t="shared" si="302"/>
        <v>0</v>
      </c>
      <c r="AI348" s="232">
        <f t="shared" si="303"/>
        <v>0</v>
      </c>
      <c r="AJ348" s="235">
        <f t="shared" si="304"/>
        <v>0</v>
      </c>
      <c r="AK348" s="269">
        <f t="shared" si="305"/>
        <v>0</v>
      </c>
      <c r="AL348" s="269">
        <f t="shared" si="271"/>
        <v>0</v>
      </c>
      <c r="AM348" s="281" t="e">
        <f>IF(B348&gt;=mpfo,pos*vvm*Dados!$E$122*(ntudv-SUM(U$301:$U349))-SUM($AM$13:AM347),0)</f>
        <v>#DIV/0!</v>
      </c>
      <c r="AN348" s="269" t="e">
        <f t="shared" si="306"/>
        <v>#DIV/0!</v>
      </c>
      <c r="AO348" s="232" t="e">
        <f t="shared" si="307"/>
        <v>#DIV/0!</v>
      </c>
      <c r="AP348" s="242" t="e">
        <f t="shared" si="308"/>
        <v>#DIV/0!</v>
      </c>
      <c r="AQ348" s="235" t="e">
        <f>IF(AP348+SUM($AQ$12:AQ347)&gt;=0,0,-AP348-SUM($AQ$12:AQ347))</f>
        <v>#DIV/0!</v>
      </c>
      <c r="AR348" s="235">
        <f>IF(SUM($N$13:N347)&gt;=pmo,IF(SUM(N347:$N$501)&gt;(1-pmo),B348,0),0)</f>
        <v>0</v>
      </c>
      <c r="AS348" s="235" t="e">
        <f>IF((SUM($U$13:$U347)/ntudv)&gt;=pmv,IF((SUM($U347:$U$501)/ntudv)&gt;(1-pmv),B348,0),0)</f>
        <v>#DIV/0!</v>
      </c>
      <c r="AT348" s="237" t="e">
        <f>IF(MAX(mmo,mmv)=mmo,IF(B348=AR348,(SUM(N$13:$N347)-pmo)/((1-VLOOKUP(MAX(mmo,mmv)-1,$B$13:$O$501,14))+(VLOOKUP(MAX(mmo,mmv)-1,$B$13:$O$501,14)-pmo)),N347/((1-VLOOKUP(MAX(mmo,mmv)-1,$B$13:$O$501,14)+(VLOOKUP(MAX(mmo,mmv)-1,$B$13:$O$501,14)-pmo)))),N347/(1-VLOOKUP(MAX(mmo,mmv)-2,$B$13:$O$501,14)))</f>
        <v>#DIV/0!</v>
      </c>
      <c r="AU348" s="101" t="e">
        <f t="shared" si="272"/>
        <v>#DIV/0!</v>
      </c>
      <c r="AV348" s="287" t="e">
        <f t="shared" si="273"/>
        <v>#DIV/0!</v>
      </c>
      <c r="AW348" s="235" t="e">
        <f t="shared" si="309"/>
        <v>#DIV/0!</v>
      </c>
      <c r="AX348" s="281">
        <f>IF(B348&gt;mpfo,0,IF(B348=mpfo,(vld-teo*(1+tcfo-incc)^(MAX(mmo,mmv)-mbfo))*-1,IF(SUM($N$13:N347)&gt;=pmo,IF(($V347/ntudv)&gt;=pmv,IF(B348=MAX(mmo,mmv),-teo*(1+tcfo-incc)^(B348-mbfo),0),0),0)))</f>
        <v>0</v>
      </c>
      <c r="AY348" s="292" t="e">
        <f t="shared" si="274"/>
        <v>#DIV/0!</v>
      </c>
      <c r="AZ348" s="235" t="e">
        <f t="shared" si="310"/>
        <v>#DIV/0!</v>
      </c>
      <c r="BA348" s="269" t="e">
        <f t="shared" si="311"/>
        <v>#DIV/0!</v>
      </c>
      <c r="BB348" s="292" t="e">
        <f t="shared" si="312"/>
        <v>#DIV/0!</v>
      </c>
      <c r="BC348" s="238" t="e">
        <f>IF(SUM($BC$13:BC347)&gt;0,0,IF(BB348&gt;0,B348,0))</f>
        <v>#DIV/0!</v>
      </c>
      <c r="BD348" s="292" t="e">
        <f>IF(BB348+SUM($BD$12:BD347)&gt;=0,0,-BB348-SUM($BD$12:BD347))</f>
        <v>#DIV/0!</v>
      </c>
      <c r="BE348" s="235" t="e">
        <f>BB348+SUM($BD$12:BD348)</f>
        <v>#DIV/0!</v>
      </c>
      <c r="BF348" s="292" t="e">
        <f>-MIN(BE348:$BE$501)-SUM(BF$12:$BF347)</f>
        <v>#DIV/0!</v>
      </c>
      <c r="BG348" s="235" t="e">
        <f t="shared" si="277"/>
        <v>#DIV/0!</v>
      </c>
    </row>
    <row r="349" spans="2:59">
      <c r="B349" s="120">
        <v>336</v>
      </c>
      <c r="C349" s="241">
        <f t="shared" si="276"/>
        <v>52906</v>
      </c>
      <c r="D349" s="229">
        <f t="shared" si="278"/>
        <v>11</v>
      </c>
      <c r="E349" s="230" t="str">
        <f t="shared" si="279"/>
        <v>-</v>
      </c>
      <c r="F349" s="231">
        <f t="shared" si="280"/>
        <v>0</v>
      </c>
      <c r="G349" s="231">
        <f t="shared" si="281"/>
        <v>0</v>
      </c>
      <c r="H349" s="231">
        <f t="shared" si="282"/>
        <v>0</v>
      </c>
      <c r="I349" s="268">
        <f t="shared" si="267"/>
        <v>0</v>
      </c>
      <c r="J349" s="269">
        <f t="shared" si="283"/>
        <v>0</v>
      </c>
      <c r="K349" s="269">
        <f t="shared" si="284"/>
        <v>0</v>
      </c>
      <c r="L349" s="269">
        <f t="shared" si="268"/>
        <v>0</v>
      </c>
      <c r="M349" s="269">
        <f t="shared" si="269"/>
        <v>0</v>
      </c>
      <c r="N349" s="233">
        <f>VLOOKUP(B349,Dados!$L$86:$P$90,5)</f>
        <v>0</v>
      </c>
      <c r="O349" s="270">
        <f t="shared" si="285"/>
        <v>0.99999999999999989</v>
      </c>
      <c r="P349" s="269">
        <f t="shared" si="286"/>
        <v>0</v>
      </c>
      <c r="Q349" s="269" t="e">
        <f t="shared" si="287"/>
        <v>#DIV/0!</v>
      </c>
      <c r="R349" s="269">
        <f t="shared" si="288"/>
        <v>0</v>
      </c>
      <c r="S349" s="269" t="e">
        <f t="shared" si="289"/>
        <v>#DIV/0!</v>
      </c>
      <c r="T349" s="269" t="e">
        <f t="shared" si="275"/>
        <v>#DIV/0!</v>
      </c>
      <c r="U349" s="234">
        <f t="shared" si="290"/>
        <v>0</v>
      </c>
      <c r="V349" s="232" t="e">
        <f t="shared" si="291"/>
        <v>#DIV/0!</v>
      </c>
      <c r="W349" s="269" t="e">
        <f t="shared" si="292"/>
        <v>#DIV/0!</v>
      </c>
      <c r="X349" s="235">
        <f t="shared" si="270"/>
        <v>0</v>
      </c>
      <c r="Y349" s="236">
        <f t="shared" si="293"/>
        <v>5</v>
      </c>
      <c r="Z349" s="236" t="e">
        <f t="shared" si="294"/>
        <v>#DIV/0!</v>
      </c>
      <c r="AA349" s="236">
        <f t="shared" si="295"/>
        <v>3</v>
      </c>
      <c r="AB349" s="236" t="e">
        <f t="shared" si="296"/>
        <v>#DIV/0!</v>
      </c>
      <c r="AC349" s="235">
        <f t="shared" si="297"/>
        <v>0</v>
      </c>
      <c r="AD349" s="235">
        <f t="shared" si="298"/>
        <v>0</v>
      </c>
      <c r="AE349" s="279">
        <f t="shared" si="299"/>
        <v>0</v>
      </c>
      <c r="AF349" s="232">
        <f t="shared" si="300"/>
        <v>0</v>
      </c>
      <c r="AG349" s="235">
        <f t="shared" si="301"/>
        <v>0</v>
      </c>
      <c r="AH349" s="269">
        <f t="shared" si="302"/>
        <v>0</v>
      </c>
      <c r="AI349" s="232">
        <f t="shared" si="303"/>
        <v>0</v>
      </c>
      <c r="AJ349" s="235">
        <f t="shared" si="304"/>
        <v>0</v>
      </c>
      <c r="AK349" s="269">
        <f t="shared" si="305"/>
        <v>0</v>
      </c>
      <c r="AL349" s="269">
        <f t="shared" si="271"/>
        <v>0</v>
      </c>
      <c r="AM349" s="281" t="e">
        <f>IF(B349&gt;=mpfo,pos*vvm*Dados!$E$122*(ntudv-SUM(U$301:$U350))-SUM($AM$13:AM348),0)</f>
        <v>#DIV/0!</v>
      </c>
      <c r="AN349" s="269" t="e">
        <f t="shared" si="306"/>
        <v>#DIV/0!</v>
      </c>
      <c r="AO349" s="232" t="e">
        <f t="shared" si="307"/>
        <v>#DIV/0!</v>
      </c>
      <c r="AP349" s="242" t="e">
        <f t="shared" si="308"/>
        <v>#DIV/0!</v>
      </c>
      <c r="AQ349" s="235" t="e">
        <f>IF(AP349+SUM($AQ$12:AQ348)&gt;=0,0,-AP349-SUM($AQ$12:AQ348))</f>
        <v>#DIV/0!</v>
      </c>
      <c r="AR349" s="235">
        <f>IF(SUM($N$13:N348)&gt;=pmo,IF(SUM(N348:$N$501)&gt;(1-pmo),B349,0),0)</f>
        <v>0</v>
      </c>
      <c r="AS349" s="235" t="e">
        <f>IF((SUM($U$13:$U348)/ntudv)&gt;=pmv,IF((SUM($U348:$U$501)/ntudv)&gt;(1-pmv),B349,0),0)</f>
        <v>#DIV/0!</v>
      </c>
      <c r="AT349" s="237" t="e">
        <f>IF(MAX(mmo,mmv)=mmo,IF(B349=AR349,(SUM(N$13:$N348)-pmo)/((1-VLOOKUP(MAX(mmo,mmv)-1,$B$13:$O$501,14))+(VLOOKUP(MAX(mmo,mmv)-1,$B$13:$O$501,14)-pmo)),N348/((1-VLOOKUP(MAX(mmo,mmv)-1,$B$13:$O$501,14)+(VLOOKUP(MAX(mmo,mmv)-1,$B$13:$O$501,14)-pmo)))),N348/(1-VLOOKUP(MAX(mmo,mmv)-2,$B$13:$O$501,14)))</f>
        <v>#DIV/0!</v>
      </c>
      <c r="AU349" s="101" t="e">
        <f t="shared" si="272"/>
        <v>#DIV/0!</v>
      </c>
      <c r="AV349" s="287" t="e">
        <f t="shared" si="273"/>
        <v>#DIV/0!</v>
      </c>
      <c r="AW349" s="235" t="e">
        <f t="shared" si="309"/>
        <v>#DIV/0!</v>
      </c>
      <c r="AX349" s="281">
        <f>IF(B349&gt;mpfo,0,IF(B349=mpfo,(vld-teo*(1+tcfo-incc)^(MAX(mmo,mmv)-mbfo))*-1,IF(SUM($N$13:N348)&gt;=pmo,IF(($V348/ntudv)&gt;=pmv,IF(B349=MAX(mmo,mmv),-teo*(1+tcfo-incc)^(B349-mbfo),0),0),0)))</f>
        <v>0</v>
      </c>
      <c r="AY349" s="292" t="e">
        <f t="shared" si="274"/>
        <v>#DIV/0!</v>
      </c>
      <c r="AZ349" s="235" t="e">
        <f t="shared" si="310"/>
        <v>#DIV/0!</v>
      </c>
      <c r="BA349" s="269" t="e">
        <f t="shared" si="311"/>
        <v>#DIV/0!</v>
      </c>
      <c r="BB349" s="292" t="e">
        <f t="shared" si="312"/>
        <v>#DIV/0!</v>
      </c>
      <c r="BC349" s="238" t="e">
        <f>IF(SUM($BC$13:BC348)&gt;0,0,IF(BB349&gt;0,B349,0))</f>
        <v>#DIV/0!</v>
      </c>
      <c r="BD349" s="292" t="e">
        <f>IF(BB349+SUM($BD$12:BD348)&gt;=0,0,-BB349-SUM($BD$12:BD348))</f>
        <v>#DIV/0!</v>
      </c>
      <c r="BE349" s="235" t="e">
        <f>BB349+SUM($BD$12:BD349)</f>
        <v>#DIV/0!</v>
      </c>
      <c r="BF349" s="292" t="e">
        <f>-MIN(BE349:$BE$501)-SUM(BF$12:$BF348)</f>
        <v>#DIV/0!</v>
      </c>
      <c r="BG349" s="235" t="e">
        <f t="shared" si="277"/>
        <v>#DIV/0!</v>
      </c>
    </row>
    <row r="350" spans="2:59">
      <c r="B350" s="246">
        <v>337</v>
      </c>
      <c r="C350" s="241">
        <f t="shared" si="276"/>
        <v>52936</v>
      </c>
      <c r="D350" s="229">
        <f t="shared" si="278"/>
        <v>12</v>
      </c>
      <c r="E350" s="230" t="str">
        <f t="shared" si="279"/>
        <v>-</v>
      </c>
      <c r="F350" s="231">
        <f t="shared" si="280"/>
        <v>0</v>
      </c>
      <c r="G350" s="231">
        <f t="shared" si="281"/>
        <v>0</v>
      </c>
      <c r="H350" s="231">
        <f t="shared" si="282"/>
        <v>0</v>
      </c>
      <c r="I350" s="268">
        <f t="shared" si="267"/>
        <v>0</v>
      </c>
      <c r="J350" s="269">
        <f t="shared" si="283"/>
        <v>0</v>
      </c>
      <c r="K350" s="269">
        <f t="shared" si="284"/>
        <v>0</v>
      </c>
      <c r="L350" s="269">
        <f t="shared" si="268"/>
        <v>0</v>
      </c>
      <c r="M350" s="269">
        <f t="shared" si="269"/>
        <v>0</v>
      </c>
      <c r="N350" s="233">
        <f>VLOOKUP(B350,Dados!$L$86:$P$90,5)</f>
        <v>0</v>
      </c>
      <c r="O350" s="270">
        <f t="shared" si="285"/>
        <v>0.99999999999999989</v>
      </c>
      <c r="P350" s="269">
        <f t="shared" si="286"/>
        <v>0</v>
      </c>
      <c r="Q350" s="269" t="e">
        <f t="shared" si="287"/>
        <v>#DIV/0!</v>
      </c>
      <c r="R350" s="269">
        <f t="shared" si="288"/>
        <v>0</v>
      </c>
      <c r="S350" s="269" t="e">
        <f t="shared" si="289"/>
        <v>#DIV/0!</v>
      </c>
      <c r="T350" s="269" t="e">
        <f t="shared" si="275"/>
        <v>#DIV/0!</v>
      </c>
      <c r="U350" s="234">
        <f t="shared" si="290"/>
        <v>0</v>
      </c>
      <c r="V350" s="232" t="e">
        <f t="shared" si="291"/>
        <v>#DIV/0!</v>
      </c>
      <c r="W350" s="269" t="e">
        <f t="shared" si="292"/>
        <v>#DIV/0!</v>
      </c>
      <c r="X350" s="235">
        <f t="shared" si="270"/>
        <v>0</v>
      </c>
      <c r="Y350" s="236">
        <f t="shared" si="293"/>
        <v>5</v>
      </c>
      <c r="Z350" s="236" t="e">
        <f t="shared" si="294"/>
        <v>#DIV/0!</v>
      </c>
      <c r="AA350" s="236">
        <f t="shared" si="295"/>
        <v>3</v>
      </c>
      <c r="AB350" s="236" t="e">
        <f t="shared" si="296"/>
        <v>#DIV/0!</v>
      </c>
      <c r="AC350" s="235">
        <f t="shared" si="297"/>
        <v>0</v>
      </c>
      <c r="AD350" s="235">
        <f t="shared" si="298"/>
        <v>0</v>
      </c>
      <c r="AE350" s="279">
        <f t="shared" si="299"/>
        <v>0</v>
      </c>
      <c r="AF350" s="232">
        <f t="shared" si="300"/>
        <v>1</v>
      </c>
      <c r="AG350" s="235">
        <f t="shared" si="301"/>
        <v>0</v>
      </c>
      <c r="AH350" s="269">
        <f t="shared" si="302"/>
        <v>0</v>
      </c>
      <c r="AI350" s="232">
        <f t="shared" si="303"/>
        <v>1</v>
      </c>
      <c r="AJ350" s="235">
        <f t="shared" si="304"/>
        <v>0</v>
      </c>
      <c r="AK350" s="269">
        <f t="shared" si="305"/>
        <v>0</v>
      </c>
      <c r="AL350" s="269">
        <f t="shared" si="271"/>
        <v>0</v>
      </c>
      <c r="AM350" s="281" t="e">
        <f>IF(B350&gt;=mpfo,pos*vvm*Dados!$E$122*(ntudv-SUM(U$301:$U351))-SUM($AM$13:AM349),0)</f>
        <v>#DIV/0!</v>
      </c>
      <c r="AN350" s="269" t="e">
        <f t="shared" si="306"/>
        <v>#DIV/0!</v>
      </c>
      <c r="AO350" s="232" t="e">
        <f t="shared" si="307"/>
        <v>#DIV/0!</v>
      </c>
      <c r="AP350" s="242" t="e">
        <f t="shared" si="308"/>
        <v>#DIV/0!</v>
      </c>
      <c r="AQ350" s="235" t="e">
        <f>IF(AP350+SUM($AQ$12:AQ349)&gt;=0,0,-AP350-SUM($AQ$12:AQ349))</f>
        <v>#DIV/0!</v>
      </c>
      <c r="AR350" s="235">
        <f>IF(SUM($N$13:N349)&gt;=pmo,IF(SUM(N349:$N$501)&gt;(1-pmo),B350,0),0)</f>
        <v>0</v>
      </c>
      <c r="AS350" s="235" t="e">
        <f>IF((SUM($U$13:$U349)/ntudv)&gt;=pmv,IF((SUM($U349:$U$501)/ntudv)&gt;(1-pmv),B350,0),0)</f>
        <v>#DIV/0!</v>
      </c>
      <c r="AT350" s="237" t="e">
        <f>IF(MAX(mmo,mmv)=mmo,IF(B350=AR350,(SUM(N$13:$N349)-pmo)/((1-VLOOKUP(MAX(mmo,mmv)-1,$B$13:$O$501,14))+(VLOOKUP(MAX(mmo,mmv)-1,$B$13:$O$501,14)-pmo)),N349/((1-VLOOKUP(MAX(mmo,mmv)-1,$B$13:$O$501,14)+(VLOOKUP(MAX(mmo,mmv)-1,$B$13:$O$501,14)-pmo)))),N349/(1-VLOOKUP(MAX(mmo,mmv)-2,$B$13:$O$501,14)))</f>
        <v>#DIV/0!</v>
      </c>
      <c r="AU350" s="101" t="e">
        <f t="shared" si="272"/>
        <v>#DIV/0!</v>
      </c>
      <c r="AV350" s="287" t="e">
        <f t="shared" si="273"/>
        <v>#DIV/0!</v>
      </c>
      <c r="AW350" s="235" t="e">
        <f t="shared" si="309"/>
        <v>#DIV/0!</v>
      </c>
      <c r="AX350" s="281">
        <f>IF(B350&gt;mpfo,0,IF(B350=mpfo,(vld-teo*(1+tcfo-incc)^(MAX(mmo,mmv)-mbfo))*-1,IF(SUM($N$13:N349)&gt;=pmo,IF(($V349/ntudv)&gt;=pmv,IF(B350=MAX(mmo,mmv),-teo*(1+tcfo-incc)^(B350-mbfo),0),0),0)))</f>
        <v>0</v>
      </c>
      <c r="AY350" s="292" t="e">
        <f t="shared" si="274"/>
        <v>#DIV/0!</v>
      </c>
      <c r="AZ350" s="235" t="e">
        <f t="shared" si="310"/>
        <v>#DIV/0!</v>
      </c>
      <c r="BA350" s="269" t="e">
        <f t="shared" si="311"/>
        <v>#DIV/0!</v>
      </c>
      <c r="BB350" s="292" t="e">
        <f t="shared" si="312"/>
        <v>#DIV/0!</v>
      </c>
      <c r="BC350" s="238" t="e">
        <f>IF(SUM($BC$13:BC349)&gt;0,0,IF(BB350&gt;0,B350,0))</f>
        <v>#DIV/0!</v>
      </c>
      <c r="BD350" s="292" t="e">
        <f>IF(BB350+SUM($BD$12:BD349)&gt;=0,0,-BB350-SUM($BD$12:BD349))</f>
        <v>#DIV/0!</v>
      </c>
      <c r="BE350" s="235" t="e">
        <f>BB350+SUM($BD$12:BD350)</f>
        <v>#DIV/0!</v>
      </c>
      <c r="BF350" s="292" t="e">
        <f>-MIN(BE350:$BE$501)-SUM(BF$12:$BF349)</f>
        <v>#DIV/0!</v>
      </c>
      <c r="BG350" s="235" t="e">
        <f t="shared" si="277"/>
        <v>#DIV/0!</v>
      </c>
    </row>
    <row r="351" spans="2:59">
      <c r="B351" s="120">
        <v>338</v>
      </c>
      <c r="C351" s="241">
        <f t="shared" si="276"/>
        <v>52967</v>
      </c>
      <c r="D351" s="229">
        <f t="shared" si="278"/>
        <v>1</v>
      </c>
      <c r="E351" s="230" t="str">
        <f t="shared" si="279"/>
        <v>-</v>
      </c>
      <c r="F351" s="231">
        <f t="shared" si="280"/>
        <v>0</v>
      </c>
      <c r="G351" s="231">
        <f t="shared" si="281"/>
        <v>0</v>
      </c>
      <c r="H351" s="231">
        <f t="shared" si="282"/>
        <v>0</v>
      </c>
      <c r="I351" s="268">
        <f t="shared" si="267"/>
        <v>0</v>
      </c>
      <c r="J351" s="269">
        <f t="shared" si="283"/>
        <v>0</v>
      </c>
      <c r="K351" s="269">
        <f t="shared" si="284"/>
        <v>0</v>
      </c>
      <c r="L351" s="269">
        <f t="shared" si="268"/>
        <v>0</v>
      </c>
      <c r="M351" s="269">
        <f t="shared" si="269"/>
        <v>0</v>
      </c>
      <c r="N351" s="233">
        <f>VLOOKUP(B351,Dados!$L$86:$P$90,5)</f>
        <v>0</v>
      </c>
      <c r="O351" s="270">
        <f t="shared" si="285"/>
        <v>0.99999999999999989</v>
      </c>
      <c r="P351" s="269">
        <f t="shared" si="286"/>
        <v>0</v>
      </c>
      <c r="Q351" s="269" t="e">
        <f t="shared" si="287"/>
        <v>#DIV/0!</v>
      </c>
      <c r="R351" s="269">
        <f t="shared" si="288"/>
        <v>0</v>
      </c>
      <c r="S351" s="269" t="e">
        <f t="shared" si="289"/>
        <v>#DIV/0!</v>
      </c>
      <c r="T351" s="269" t="e">
        <f t="shared" si="275"/>
        <v>#DIV/0!</v>
      </c>
      <c r="U351" s="234">
        <f t="shared" si="290"/>
        <v>0</v>
      </c>
      <c r="V351" s="232" t="e">
        <f t="shared" si="291"/>
        <v>#DIV/0!</v>
      </c>
      <c r="W351" s="269" t="e">
        <f t="shared" si="292"/>
        <v>#DIV/0!</v>
      </c>
      <c r="X351" s="235">
        <f t="shared" si="270"/>
        <v>0</v>
      </c>
      <c r="Y351" s="236">
        <f t="shared" si="293"/>
        <v>5</v>
      </c>
      <c r="Z351" s="236" t="e">
        <f t="shared" si="294"/>
        <v>#DIV/0!</v>
      </c>
      <c r="AA351" s="236">
        <f t="shared" si="295"/>
        <v>3</v>
      </c>
      <c r="AB351" s="236" t="e">
        <f t="shared" si="296"/>
        <v>#DIV/0!</v>
      </c>
      <c r="AC351" s="235">
        <f t="shared" si="297"/>
        <v>0</v>
      </c>
      <c r="AD351" s="235">
        <f t="shared" si="298"/>
        <v>0</v>
      </c>
      <c r="AE351" s="279">
        <f t="shared" si="299"/>
        <v>0</v>
      </c>
      <c r="AF351" s="232">
        <f t="shared" si="300"/>
        <v>0</v>
      </c>
      <c r="AG351" s="235">
        <f t="shared" si="301"/>
        <v>0</v>
      </c>
      <c r="AH351" s="269">
        <f t="shared" si="302"/>
        <v>0</v>
      </c>
      <c r="AI351" s="232">
        <f t="shared" si="303"/>
        <v>0</v>
      </c>
      <c r="AJ351" s="235">
        <f t="shared" si="304"/>
        <v>0</v>
      </c>
      <c r="AK351" s="269">
        <f t="shared" si="305"/>
        <v>0</v>
      </c>
      <c r="AL351" s="269">
        <f t="shared" si="271"/>
        <v>0</v>
      </c>
      <c r="AM351" s="281" t="e">
        <f>IF(B351&gt;=mpfo,pos*vvm*Dados!$E$122*(ntudv-SUM(U$301:$U352))-SUM($AM$13:AM350),0)</f>
        <v>#DIV/0!</v>
      </c>
      <c r="AN351" s="269" t="e">
        <f t="shared" si="306"/>
        <v>#DIV/0!</v>
      </c>
      <c r="AO351" s="232" t="e">
        <f t="shared" si="307"/>
        <v>#DIV/0!</v>
      </c>
      <c r="AP351" s="242" t="e">
        <f t="shared" si="308"/>
        <v>#DIV/0!</v>
      </c>
      <c r="AQ351" s="235" t="e">
        <f>IF(AP351+SUM($AQ$12:AQ350)&gt;=0,0,-AP351-SUM($AQ$12:AQ350))</f>
        <v>#DIV/0!</v>
      </c>
      <c r="AR351" s="235">
        <f>IF(SUM($N$13:N350)&gt;=pmo,IF(SUM(N350:$N$501)&gt;(1-pmo),B351,0),0)</f>
        <v>0</v>
      </c>
      <c r="AS351" s="235" t="e">
        <f>IF((SUM($U$13:$U350)/ntudv)&gt;=pmv,IF((SUM($U350:$U$501)/ntudv)&gt;(1-pmv),B351,0),0)</f>
        <v>#DIV/0!</v>
      </c>
      <c r="AT351" s="237" t="e">
        <f>IF(MAX(mmo,mmv)=mmo,IF(B351=AR351,(SUM(N$13:$N350)-pmo)/((1-VLOOKUP(MAX(mmo,mmv)-1,$B$13:$O$501,14))+(VLOOKUP(MAX(mmo,mmv)-1,$B$13:$O$501,14)-pmo)),N350/((1-VLOOKUP(MAX(mmo,mmv)-1,$B$13:$O$501,14)+(VLOOKUP(MAX(mmo,mmv)-1,$B$13:$O$501,14)-pmo)))),N350/(1-VLOOKUP(MAX(mmo,mmv)-2,$B$13:$O$501,14)))</f>
        <v>#DIV/0!</v>
      </c>
      <c r="AU351" s="101" t="e">
        <f t="shared" si="272"/>
        <v>#DIV/0!</v>
      </c>
      <c r="AV351" s="287" t="e">
        <f t="shared" si="273"/>
        <v>#DIV/0!</v>
      </c>
      <c r="AW351" s="235" t="e">
        <f t="shared" si="309"/>
        <v>#DIV/0!</v>
      </c>
      <c r="AX351" s="281">
        <f>IF(B351&gt;mpfo,0,IF(B351=mpfo,(vld-teo*(1+tcfo-incc)^(MAX(mmo,mmv)-mbfo))*-1,IF(SUM($N$13:N350)&gt;=pmo,IF(($V350/ntudv)&gt;=pmv,IF(B351=MAX(mmo,mmv),-teo*(1+tcfo-incc)^(B351-mbfo),0),0),0)))</f>
        <v>0</v>
      </c>
      <c r="AY351" s="292" t="e">
        <f t="shared" si="274"/>
        <v>#DIV/0!</v>
      </c>
      <c r="AZ351" s="235" t="e">
        <f t="shared" si="310"/>
        <v>#DIV/0!</v>
      </c>
      <c r="BA351" s="269" t="e">
        <f t="shared" si="311"/>
        <v>#DIV/0!</v>
      </c>
      <c r="BB351" s="292" t="e">
        <f t="shared" si="312"/>
        <v>#DIV/0!</v>
      </c>
      <c r="BC351" s="238" t="e">
        <f>IF(SUM($BC$13:BC350)&gt;0,0,IF(BB351&gt;0,B351,0))</f>
        <v>#DIV/0!</v>
      </c>
      <c r="BD351" s="292" t="e">
        <f>IF(BB351+SUM($BD$12:BD350)&gt;=0,0,-BB351-SUM($BD$12:BD350))</f>
        <v>#DIV/0!</v>
      </c>
      <c r="BE351" s="235" t="e">
        <f>BB351+SUM($BD$12:BD351)</f>
        <v>#DIV/0!</v>
      </c>
      <c r="BF351" s="292" t="e">
        <f>-MIN(BE351:$BE$501)-SUM(BF$12:$BF350)</f>
        <v>#DIV/0!</v>
      </c>
      <c r="BG351" s="235" t="e">
        <f t="shared" si="277"/>
        <v>#DIV/0!</v>
      </c>
    </row>
    <row r="352" spans="2:59">
      <c r="B352" s="246">
        <v>339</v>
      </c>
      <c r="C352" s="241">
        <f t="shared" si="276"/>
        <v>52998</v>
      </c>
      <c r="D352" s="229">
        <f t="shared" si="278"/>
        <v>2</v>
      </c>
      <c r="E352" s="230" t="str">
        <f t="shared" si="279"/>
        <v>-</v>
      </c>
      <c r="F352" s="231">
        <f t="shared" si="280"/>
        <v>0</v>
      </c>
      <c r="G352" s="231">
        <f t="shared" si="281"/>
        <v>0</v>
      </c>
      <c r="H352" s="231">
        <f t="shared" si="282"/>
        <v>0</v>
      </c>
      <c r="I352" s="268">
        <f t="shared" si="267"/>
        <v>0</v>
      </c>
      <c r="J352" s="269">
        <f t="shared" si="283"/>
        <v>0</v>
      </c>
      <c r="K352" s="269">
        <f t="shared" si="284"/>
        <v>0</v>
      </c>
      <c r="L352" s="269">
        <f t="shared" si="268"/>
        <v>0</v>
      </c>
      <c r="M352" s="269">
        <f t="shared" si="269"/>
        <v>0</v>
      </c>
      <c r="N352" s="233">
        <f>VLOOKUP(B352,Dados!$L$86:$P$90,5)</f>
        <v>0</v>
      </c>
      <c r="O352" s="270">
        <f t="shared" si="285"/>
        <v>0.99999999999999989</v>
      </c>
      <c r="P352" s="269">
        <f t="shared" si="286"/>
        <v>0</v>
      </c>
      <c r="Q352" s="269" t="e">
        <f t="shared" si="287"/>
        <v>#DIV/0!</v>
      </c>
      <c r="R352" s="269">
        <f t="shared" si="288"/>
        <v>0</v>
      </c>
      <c r="S352" s="269" t="e">
        <f t="shared" si="289"/>
        <v>#DIV/0!</v>
      </c>
      <c r="T352" s="269" t="e">
        <f t="shared" si="275"/>
        <v>#DIV/0!</v>
      </c>
      <c r="U352" s="234">
        <f t="shared" si="290"/>
        <v>0</v>
      </c>
      <c r="V352" s="232" t="e">
        <f t="shared" si="291"/>
        <v>#DIV/0!</v>
      </c>
      <c r="W352" s="269" t="e">
        <f t="shared" si="292"/>
        <v>#DIV/0!</v>
      </c>
      <c r="X352" s="235">
        <f t="shared" si="270"/>
        <v>0</v>
      </c>
      <c r="Y352" s="236">
        <f t="shared" si="293"/>
        <v>5</v>
      </c>
      <c r="Z352" s="236" t="e">
        <f t="shared" si="294"/>
        <v>#DIV/0!</v>
      </c>
      <c r="AA352" s="236">
        <f t="shared" si="295"/>
        <v>3</v>
      </c>
      <c r="AB352" s="236" t="e">
        <f t="shared" si="296"/>
        <v>#DIV/0!</v>
      </c>
      <c r="AC352" s="235">
        <f t="shared" si="297"/>
        <v>0</v>
      </c>
      <c r="AD352" s="235">
        <f t="shared" si="298"/>
        <v>0</v>
      </c>
      <c r="AE352" s="279">
        <f t="shared" si="299"/>
        <v>0</v>
      </c>
      <c r="AF352" s="232">
        <f t="shared" si="300"/>
        <v>0</v>
      </c>
      <c r="AG352" s="235">
        <f t="shared" si="301"/>
        <v>0</v>
      </c>
      <c r="AH352" s="269">
        <f t="shared" si="302"/>
        <v>0</v>
      </c>
      <c r="AI352" s="232">
        <f t="shared" si="303"/>
        <v>0</v>
      </c>
      <c r="AJ352" s="235">
        <f t="shared" si="304"/>
        <v>0</v>
      </c>
      <c r="AK352" s="269">
        <f t="shared" si="305"/>
        <v>0</v>
      </c>
      <c r="AL352" s="269">
        <f t="shared" si="271"/>
        <v>0</v>
      </c>
      <c r="AM352" s="281" t="e">
        <f>IF(B352&gt;=mpfo,pos*vvm*Dados!$E$122*(ntudv-SUM(U$301:$U353))-SUM($AM$13:AM351),0)</f>
        <v>#DIV/0!</v>
      </c>
      <c r="AN352" s="269" t="e">
        <f t="shared" si="306"/>
        <v>#DIV/0!</v>
      </c>
      <c r="AO352" s="232" t="e">
        <f t="shared" si="307"/>
        <v>#DIV/0!</v>
      </c>
      <c r="AP352" s="242" t="e">
        <f t="shared" si="308"/>
        <v>#DIV/0!</v>
      </c>
      <c r="AQ352" s="235" t="e">
        <f>IF(AP352+SUM($AQ$12:AQ351)&gt;=0,0,-AP352-SUM($AQ$12:AQ351))</f>
        <v>#DIV/0!</v>
      </c>
      <c r="AR352" s="235">
        <f>IF(SUM($N$13:N351)&gt;=pmo,IF(SUM(N351:$N$501)&gt;(1-pmo),B352,0),0)</f>
        <v>0</v>
      </c>
      <c r="AS352" s="235" t="e">
        <f>IF((SUM($U$13:$U351)/ntudv)&gt;=pmv,IF((SUM($U351:$U$501)/ntudv)&gt;(1-pmv),B352,0),0)</f>
        <v>#DIV/0!</v>
      </c>
      <c r="AT352" s="237" t="e">
        <f>IF(MAX(mmo,mmv)=mmo,IF(B352=AR352,(SUM(N$13:$N351)-pmo)/((1-VLOOKUP(MAX(mmo,mmv)-1,$B$13:$O$501,14))+(VLOOKUP(MAX(mmo,mmv)-1,$B$13:$O$501,14)-pmo)),N351/((1-VLOOKUP(MAX(mmo,mmv)-1,$B$13:$O$501,14)+(VLOOKUP(MAX(mmo,mmv)-1,$B$13:$O$501,14)-pmo)))),N351/(1-VLOOKUP(MAX(mmo,mmv)-2,$B$13:$O$501,14)))</f>
        <v>#DIV/0!</v>
      </c>
      <c r="AU352" s="101" t="e">
        <f t="shared" si="272"/>
        <v>#DIV/0!</v>
      </c>
      <c r="AV352" s="287" t="e">
        <f t="shared" si="273"/>
        <v>#DIV/0!</v>
      </c>
      <c r="AW352" s="235" t="e">
        <f t="shared" si="309"/>
        <v>#DIV/0!</v>
      </c>
      <c r="AX352" s="281">
        <f>IF(B352&gt;mpfo,0,IF(B352=mpfo,(vld-teo*(1+tcfo-incc)^(MAX(mmo,mmv)-mbfo))*-1,IF(SUM($N$13:N351)&gt;=pmo,IF(($V351/ntudv)&gt;=pmv,IF(B352=MAX(mmo,mmv),-teo*(1+tcfo-incc)^(B352-mbfo),0),0),0)))</f>
        <v>0</v>
      </c>
      <c r="AY352" s="292" t="e">
        <f t="shared" si="274"/>
        <v>#DIV/0!</v>
      </c>
      <c r="AZ352" s="235" t="e">
        <f t="shared" si="310"/>
        <v>#DIV/0!</v>
      </c>
      <c r="BA352" s="269" t="e">
        <f t="shared" si="311"/>
        <v>#DIV/0!</v>
      </c>
      <c r="BB352" s="292" t="e">
        <f t="shared" si="312"/>
        <v>#DIV/0!</v>
      </c>
      <c r="BC352" s="238" t="e">
        <f>IF(SUM($BC$13:BC351)&gt;0,0,IF(BB352&gt;0,B352,0))</f>
        <v>#DIV/0!</v>
      </c>
      <c r="BD352" s="292" t="e">
        <f>IF(BB352+SUM($BD$12:BD351)&gt;=0,0,-BB352-SUM($BD$12:BD351))</f>
        <v>#DIV/0!</v>
      </c>
      <c r="BE352" s="235" t="e">
        <f>BB352+SUM($BD$12:BD352)</f>
        <v>#DIV/0!</v>
      </c>
      <c r="BF352" s="292" t="e">
        <f>-MIN(BE352:$BE$501)-SUM(BF$12:$BF351)</f>
        <v>#DIV/0!</v>
      </c>
      <c r="BG352" s="235" t="e">
        <f t="shared" si="277"/>
        <v>#DIV/0!</v>
      </c>
    </row>
    <row r="353" spans="2:59">
      <c r="B353" s="120">
        <v>340</v>
      </c>
      <c r="C353" s="241">
        <f t="shared" si="276"/>
        <v>53026</v>
      </c>
      <c r="D353" s="229">
        <f t="shared" si="278"/>
        <v>3</v>
      </c>
      <c r="E353" s="230" t="str">
        <f t="shared" si="279"/>
        <v>-</v>
      </c>
      <c r="F353" s="231">
        <f t="shared" si="280"/>
        <v>0</v>
      </c>
      <c r="G353" s="231">
        <f t="shared" si="281"/>
        <v>0</v>
      </c>
      <c r="H353" s="231">
        <f t="shared" si="282"/>
        <v>0</v>
      </c>
      <c r="I353" s="268">
        <f t="shared" si="267"/>
        <v>0</v>
      </c>
      <c r="J353" s="269">
        <f t="shared" si="283"/>
        <v>0</v>
      </c>
      <c r="K353" s="269">
        <f t="shared" si="284"/>
        <v>0</v>
      </c>
      <c r="L353" s="269">
        <f t="shared" si="268"/>
        <v>0</v>
      </c>
      <c r="M353" s="269">
        <f t="shared" si="269"/>
        <v>0</v>
      </c>
      <c r="N353" s="233">
        <f>VLOOKUP(B353,Dados!$L$86:$P$90,5)</f>
        <v>0</v>
      </c>
      <c r="O353" s="270">
        <f t="shared" si="285"/>
        <v>0.99999999999999989</v>
      </c>
      <c r="P353" s="269">
        <f t="shared" si="286"/>
        <v>0</v>
      </c>
      <c r="Q353" s="269" t="e">
        <f t="shared" si="287"/>
        <v>#DIV/0!</v>
      </c>
      <c r="R353" s="269">
        <f t="shared" si="288"/>
        <v>0</v>
      </c>
      <c r="S353" s="269" t="e">
        <f t="shared" si="289"/>
        <v>#DIV/0!</v>
      </c>
      <c r="T353" s="269" t="e">
        <f t="shared" si="275"/>
        <v>#DIV/0!</v>
      </c>
      <c r="U353" s="234">
        <f t="shared" si="290"/>
        <v>0</v>
      </c>
      <c r="V353" s="232" t="e">
        <f t="shared" si="291"/>
        <v>#DIV/0!</v>
      </c>
      <c r="W353" s="269" t="e">
        <f t="shared" si="292"/>
        <v>#DIV/0!</v>
      </c>
      <c r="X353" s="235">
        <f t="shared" si="270"/>
        <v>0</v>
      </c>
      <c r="Y353" s="236">
        <f t="shared" si="293"/>
        <v>5</v>
      </c>
      <c r="Z353" s="236" t="e">
        <f t="shared" si="294"/>
        <v>#DIV/0!</v>
      </c>
      <c r="AA353" s="236">
        <f t="shared" si="295"/>
        <v>3</v>
      </c>
      <c r="AB353" s="236" t="e">
        <f t="shared" si="296"/>
        <v>#DIV/0!</v>
      </c>
      <c r="AC353" s="235">
        <f t="shared" si="297"/>
        <v>0</v>
      </c>
      <c r="AD353" s="235">
        <f t="shared" si="298"/>
        <v>0</v>
      </c>
      <c r="AE353" s="279">
        <f t="shared" si="299"/>
        <v>0</v>
      </c>
      <c r="AF353" s="232">
        <f t="shared" si="300"/>
        <v>0</v>
      </c>
      <c r="AG353" s="235">
        <f t="shared" si="301"/>
        <v>0</v>
      </c>
      <c r="AH353" s="269">
        <f t="shared" si="302"/>
        <v>0</v>
      </c>
      <c r="AI353" s="232">
        <f t="shared" si="303"/>
        <v>0</v>
      </c>
      <c r="AJ353" s="235">
        <f t="shared" si="304"/>
        <v>0</v>
      </c>
      <c r="AK353" s="269">
        <f t="shared" si="305"/>
        <v>0</v>
      </c>
      <c r="AL353" s="269">
        <f t="shared" si="271"/>
        <v>0</v>
      </c>
      <c r="AM353" s="281" t="e">
        <f>IF(B353&gt;=mpfo,pos*vvm*Dados!$E$122*(ntudv-SUM(U$301:$U354))-SUM($AM$13:AM352),0)</f>
        <v>#DIV/0!</v>
      </c>
      <c r="AN353" s="269" t="e">
        <f t="shared" si="306"/>
        <v>#DIV/0!</v>
      </c>
      <c r="AO353" s="232" t="e">
        <f t="shared" si="307"/>
        <v>#DIV/0!</v>
      </c>
      <c r="AP353" s="242" t="e">
        <f t="shared" si="308"/>
        <v>#DIV/0!</v>
      </c>
      <c r="AQ353" s="235" t="e">
        <f>IF(AP353+SUM($AQ$12:AQ352)&gt;=0,0,-AP353-SUM($AQ$12:AQ352))</f>
        <v>#DIV/0!</v>
      </c>
      <c r="AR353" s="235">
        <f>IF(SUM($N$13:N352)&gt;=pmo,IF(SUM(N352:$N$501)&gt;(1-pmo),B353,0),0)</f>
        <v>0</v>
      </c>
      <c r="AS353" s="235" t="e">
        <f>IF((SUM($U$13:$U352)/ntudv)&gt;=pmv,IF((SUM($U352:$U$501)/ntudv)&gt;(1-pmv),B353,0),0)</f>
        <v>#DIV/0!</v>
      </c>
      <c r="AT353" s="237" t="e">
        <f>IF(MAX(mmo,mmv)=mmo,IF(B353=AR353,(SUM(N$13:$N352)-pmo)/((1-VLOOKUP(MAX(mmo,mmv)-1,$B$13:$O$501,14))+(VLOOKUP(MAX(mmo,mmv)-1,$B$13:$O$501,14)-pmo)),N352/((1-VLOOKUP(MAX(mmo,mmv)-1,$B$13:$O$501,14)+(VLOOKUP(MAX(mmo,mmv)-1,$B$13:$O$501,14)-pmo)))),N352/(1-VLOOKUP(MAX(mmo,mmv)-2,$B$13:$O$501,14)))</f>
        <v>#DIV/0!</v>
      </c>
      <c r="AU353" s="101" t="e">
        <f t="shared" si="272"/>
        <v>#DIV/0!</v>
      </c>
      <c r="AV353" s="287" t="e">
        <f t="shared" si="273"/>
        <v>#DIV/0!</v>
      </c>
      <c r="AW353" s="235" t="e">
        <f t="shared" si="309"/>
        <v>#DIV/0!</v>
      </c>
      <c r="AX353" s="281">
        <f>IF(B353&gt;mpfo,0,IF(B353=mpfo,(vld-teo*(1+tcfo-incc)^(MAX(mmo,mmv)-mbfo))*-1,IF(SUM($N$13:N352)&gt;=pmo,IF(($V352/ntudv)&gt;=pmv,IF(B353=MAX(mmo,mmv),-teo*(1+tcfo-incc)^(B353-mbfo),0),0),0)))</f>
        <v>0</v>
      </c>
      <c r="AY353" s="292" t="e">
        <f t="shared" si="274"/>
        <v>#DIV/0!</v>
      </c>
      <c r="AZ353" s="235" t="e">
        <f t="shared" si="310"/>
        <v>#DIV/0!</v>
      </c>
      <c r="BA353" s="269" t="e">
        <f t="shared" si="311"/>
        <v>#DIV/0!</v>
      </c>
      <c r="BB353" s="292" t="e">
        <f t="shared" si="312"/>
        <v>#DIV/0!</v>
      </c>
      <c r="BC353" s="238" t="e">
        <f>IF(SUM($BC$13:BC352)&gt;0,0,IF(BB353&gt;0,B353,0))</f>
        <v>#DIV/0!</v>
      </c>
      <c r="BD353" s="292" t="e">
        <f>IF(BB353+SUM($BD$12:BD352)&gt;=0,0,-BB353-SUM($BD$12:BD352))</f>
        <v>#DIV/0!</v>
      </c>
      <c r="BE353" s="235" t="e">
        <f>BB353+SUM($BD$12:BD353)</f>
        <v>#DIV/0!</v>
      </c>
      <c r="BF353" s="292" t="e">
        <f>-MIN(BE353:$BE$501)-SUM(BF$12:$BF352)</f>
        <v>#DIV/0!</v>
      </c>
      <c r="BG353" s="235" t="e">
        <f t="shared" si="277"/>
        <v>#DIV/0!</v>
      </c>
    </row>
    <row r="354" spans="2:59">
      <c r="B354" s="246">
        <v>341</v>
      </c>
      <c r="C354" s="241">
        <f t="shared" si="276"/>
        <v>53057</v>
      </c>
      <c r="D354" s="229">
        <f t="shared" si="278"/>
        <v>4</v>
      </c>
      <c r="E354" s="230" t="str">
        <f t="shared" si="279"/>
        <v>-</v>
      </c>
      <c r="F354" s="231">
        <f t="shared" si="280"/>
        <v>0</v>
      </c>
      <c r="G354" s="231">
        <f t="shared" si="281"/>
        <v>0</v>
      </c>
      <c r="H354" s="231">
        <f t="shared" si="282"/>
        <v>0</v>
      </c>
      <c r="I354" s="268">
        <f t="shared" si="267"/>
        <v>0</v>
      </c>
      <c r="J354" s="269">
        <f t="shared" si="283"/>
        <v>0</v>
      </c>
      <c r="K354" s="269">
        <f t="shared" si="284"/>
        <v>0</v>
      </c>
      <c r="L354" s="269">
        <f t="shared" si="268"/>
        <v>0</v>
      </c>
      <c r="M354" s="269">
        <f t="shared" si="269"/>
        <v>0</v>
      </c>
      <c r="N354" s="233">
        <f>VLOOKUP(B354,Dados!$L$86:$P$90,5)</f>
        <v>0</v>
      </c>
      <c r="O354" s="270">
        <f t="shared" si="285"/>
        <v>0.99999999999999989</v>
      </c>
      <c r="P354" s="269">
        <f t="shared" si="286"/>
        <v>0</v>
      </c>
      <c r="Q354" s="269" t="e">
        <f t="shared" si="287"/>
        <v>#DIV/0!</v>
      </c>
      <c r="R354" s="269">
        <f t="shared" si="288"/>
        <v>0</v>
      </c>
      <c r="S354" s="269" t="e">
        <f t="shared" si="289"/>
        <v>#DIV/0!</v>
      </c>
      <c r="T354" s="269" t="e">
        <f t="shared" si="275"/>
        <v>#DIV/0!</v>
      </c>
      <c r="U354" s="234">
        <f t="shared" si="290"/>
        <v>0</v>
      </c>
      <c r="V354" s="232" t="e">
        <f t="shared" si="291"/>
        <v>#DIV/0!</v>
      </c>
      <c r="W354" s="269" t="e">
        <f t="shared" si="292"/>
        <v>#DIV/0!</v>
      </c>
      <c r="X354" s="235">
        <f t="shared" si="270"/>
        <v>0</v>
      </c>
      <c r="Y354" s="236">
        <f t="shared" si="293"/>
        <v>5</v>
      </c>
      <c r="Z354" s="236" t="e">
        <f t="shared" si="294"/>
        <v>#DIV/0!</v>
      </c>
      <c r="AA354" s="236">
        <f t="shared" si="295"/>
        <v>3</v>
      </c>
      <c r="AB354" s="236" t="e">
        <f t="shared" si="296"/>
        <v>#DIV/0!</v>
      </c>
      <c r="AC354" s="235">
        <f t="shared" si="297"/>
        <v>0</v>
      </c>
      <c r="AD354" s="235">
        <f t="shared" si="298"/>
        <v>0</v>
      </c>
      <c r="AE354" s="279">
        <f t="shared" si="299"/>
        <v>0</v>
      </c>
      <c r="AF354" s="232">
        <f t="shared" si="300"/>
        <v>0</v>
      </c>
      <c r="AG354" s="235">
        <f t="shared" si="301"/>
        <v>0</v>
      </c>
      <c r="AH354" s="269">
        <f t="shared" si="302"/>
        <v>0</v>
      </c>
      <c r="AI354" s="232">
        <f t="shared" si="303"/>
        <v>0</v>
      </c>
      <c r="AJ354" s="235">
        <f t="shared" si="304"/>
        <v>0</v>
      </c>
      <c r="AK354" s="269">
        <f t="shared" si="305"/>
        <v>0</v>
      </c>
      <c r="AL354" s="269">
        <f t="shared" si="271"/>
        <v>0</v>
      </c>
      <c r="AM354" s="281" t="e">
        <f>IF(B354&gt;=mpfo,pos*vvm*Dados!$E$122*(ntudv-SUM(U$301:$U355))-SUM($AM$13:AM353),0)</f>
        <v>#DIV/0!</v>
      </c>
      <c r="AN354" s="269" t="e">
        <f t="shared" si="306"/>
        <v>#DIV/0!</v>
      </c>
      <c r="AO354" s="232" t="e">
        <f t="shared" si="307"/>
        <v>#DIV/0!</v>
      </c>
      <c r="AP354" s="242" t="e">
        <f t="shared" si="308"/>
        <v>#DIV/0!</v>
      </c>
      <c r="AQ354" s="235" t="e">
        <f>IF(AP354+SUM($AQ$12:AQ353)&gt;=0,0,-AP354-SUM($AQ$12:AQ353))</f>
        <v>#DIV/0!</v>
      </c>
      <c r="AR354" s="235">
        <f>IF(SUM($N$13:N353)&gt;=pmo,IF(SUM(N353:$N$501)&gt;(1-pmo),B354,0),0)</f>
        <v>0</v>
      </c>
      <c r="AS354" s="235" t="e">
        <f>IF((SUM($U$13:$U353)/ntudv)&gt;=pmv,IF((SUM($U353:$U$501)/ntudv)&gt;(1-pmv),B354,0),0)</f>
        <v>#DIV/0!</v>
      </c>
      <c r="AT354" s="237" t="e">
        <f>IF(MAX(mmo,mmv)=mmo,IF(B354=AR354,(SUM(N$13:$N353)-pmo)/((1-VLOOKUP(MAX(mmo,mmv)-1,$B$13:$O$501,14))+(VLOOKUP(MAX(mmo,mmv)-1,$B$13:$O$501,14)-pmo)),N353/((1-VLOOKUP(MAX(mmo,mmv)-1,$B$13:$O$501,14)+(VLOOKUP(MAX(mmo,mmv)-1,$B$13:$O$501,14)-pmo)))),N353/(1-VLOOKUP(MAX(mmo,mmv)-2,$B$13:$O$501,14)))</f>
        <v>#DIV/0!</v>
      </c>
      <c r="AU354" s="101" t="e">
        <f t="shared" si="272"/>
        <v>#DIV/0!</v>
      </c>
      <c r="AV354" s="287" t="e">
        <f t="shared" si="273"/>
        <v>#DIV/0!</v>
      </c>
      <c r="AW354" s="235" t="e">
        <f t="shared" si="309"/>
        <v>#DIV/0!</v>
      </c>
      <c r="AX354" s="281">
        <f>IF(B354&gt;mpfo,0,IF(B354=mpfo,(vld-teo*(1+tcfo-incc)^(MAX(mmo,mmv)-mbfo))*-1,IF(SUM($N$13:N353)&gt;=pmo,IF(($V353/ntudv)&gt;=pmv,IF(B354=MAX(mmo,mmv),-teo*(1+tcfo-incc)^(B354-mbfo),0),0),0)))</f>
        <v>0</v>
      </c>
      <c r="AY354" s="292" t="e">
        <f t="shared" si="274"/>
        <v>#DIV/0!</v>
      </c>
      <c r="AZ354" s="235" t="e">
        <f t="shared" si="310"/>
        <v>#DIV/0!</v>
      </c>
      <c r="BA354" s="269" t="e">
        <f t="shared" si="311"/>
        <v>#DIV/0!</v>
      </c>
      <c r="BB354" s="292" t="e">
        <f t="shared" si="312"/>
        <v>#DIV/0!</v>
      </c>
      <c r="BC354" s="238" t="e">
        <f>IF(SUM($BC$13:BC353)&gt;0,0,IF(BB354&gt;0,B354,0))</f>
        <v>#DIV/0!</v>
      </c>
      <c r="BD354" s="292" t="e">
        <f>IF(BB354+SUM($BD$12:BD353)&gt;=0,0,-BB354-SUM($BD$12:BD353))</f>
        <v>#DIV/0!</v>
      </c>
      <c r="BE354" s="235" t="e">
        <f>BB354+SUM($BD$12:BD354)</f>
        <v>#DIV/0!</v>
      </c>
      <c r="BF354" s="292" t="e">
        <f>-MIN(BE354:$BE$501)-SUM(BF$12:$BF353)</f>
        <v>#DIV/0!</v>
      </c>
      <c r="BG354" s="235" t="e">
        <f t="shared" si="277"/>
        <v>#DIV/0!</v>
      </c>
    </row>
    <row r="355" spans="2:59">
      <c r="B355" s="120">
        <v>342</v>
      </c>
      <c r="C355" s="241">
        <f t="shared" si="276"/>
        <v>53087</v>
      </c>
      <c r="D355" s="229">
        <f t="shared" si="278"/>
        <v>5</v>
      </c>
      <c r="E355" s="230" t="str">
        <f t="shared" si="279"/>
        <v>-</v>
      </c>
      <c r="F355" s="231">
        <f t="shared" si="280"/>
        <v>0</v>
      </c>
      <c r="G355" s="231">
        <f t="shared" si="281"/>
        <v>0</v>
      </c>
      <c r="H355" s="231">
        <f t="shared" si="282"/>
        <v>0</v>
      </c>
      <c r="I355" s="268">
        <f t="shared" si="267"/>
        <v>0</v>
      </c>
      <c r="J355" s="269">
        <f t="shared" si="283"/>
        <v>0</v>
      </c>
      <c r="K355" s="269">
        <f t="shared" si="284"/>
        <v>0</v>
      </c>
      <c r="L355" s="269">
        <f t="shared" si="268"/>
        <v>0</v>
      </c>
      <c r="M355" s="269">
        <f t="shared" si="269"/>
        <v>0</v>
      </c>
      <c r="N355" s="233">
        <f>VLOOKUP(B355,Dados!$L$86:$P$90,5)</f>
        <v>0</v>
      </c>
      <c r="O355" s="270">
        <f t="shared" si="285"/>
        <v>0.99999999999999989</v>
      </c>
      <c r="P355" s="269">
        <f t="shared" si="286"/>
        <v>0</v>
      </c>
      <c r="Q355" s="269" t="e">
        <f t="shared" si="287"/>
        <v>#DIV/0!</v>
      </c>
      <c r="R355" s="269">
        <f t="shared" si="288"/>
        <v>0</v>
      </c>
      <c r="S355" s="269" t="e">
        <f t="shared" si="289"/>
        <v>#DIV/0!</v>
      </c>
      <c r="T355" s="269" t="e">
        <f t="shared" si="275"/>
        <v>#DIV/0!</v>
      </c>
      <c r="U355" s="234">
        <f t="shared" si="290"/>
        <v>0</v>
      </c>
      <c r="V355" s="232" t="e">
        <f t="shared" si="291"/>
        <v>#DIV/0!</v>
      </c>
      <c r="W355" s="269" t="e">
        <f t="shared" si="292"/>
        <v>#DIV/0!</v>
      </c>
      <c r="X355" s="235">
        <f t="shared" si="270"/>
        <v>0</v>
      </c>
      <c r="Y355" s="236">
        <f t="shared" si="293"/>
        <v>5</v>
      </c>
      <c r="Z355" s="236" t="e">
        <f t="shared" si="294"/>
        <v>#DIV/0!</v>
      </c>
      <c r="AA355" s="236">
        <f t="shared" si="295"/>
        <v>3</v>
      </c>
      <c r="AB355" s="236" t="e">
        <f t="shared" si="296"/>
        <v>#DIV/0!</v>
      </c>
      <c r="AC355" s="235">
        <f t="shared" si="297"/>
        <v>0</v>
      </c>
      <c r="AD355" s="235">
        <f t="shared" si="298"/>
        <v>0</v>
      </c>
      <c r="AE355" s="279">
        <f t="shared" si="299"/>
        <v>0</v>
      </c>
      <c r="AF355" s="232">
        <f t="shared" si="300"/>
        <v>0</v>
      </c>
      <c r="AG355" s="235">
        <f t="shared" si="301"/>
        <v>0</v>
      </c>
      <c r="AH355" s="269">
        <f t="shared" si="302"/>
        <v>0</v>
      </c>
      <c r="AI355" s="232">
        <f t="shared" si="303"/>
        <v>0</v>
      </c>
      <c r="AJ355" s="235">
        <f t="shared" si="304"/>
        <v>0</v>
      </c>
      <c r="AK355" s="269">
        <f t="shared" si="305"/>
        <v>0</v>
      </c>
      <c r="AL355" s="269">
        <f t="shared" si="271"/>
        <v>0</v>
      </c>
      <c r="AM355" s="281" t="e">
        <f>IF(B355&gt;=mpfo,pos*vvm*Dados!$E$122*(ntudv-SUM(U$301:$U356))-SUM($AM$13:AM354),0)</f>
        <v>#DIV/0!</v>
      </c>
      <c r="AN355" s="269" t="e">
        <f t="shared" si="306"/>
        <v>#DIV/0!</v>
      </c>
      <c r="AO355" s="232" t="e">
        <f t="shared" si="307"/>
        <v>#DIV/0!</v>
      </c>
      <c r="AP355" s="242" t="e">
        <f t="shared" si="308"/>
        <v>#DIV/0!</v>
      </c>
      <c r="AQ355" s="235" t="e">
        <f>IF(AP355+SUM($AQ$12:AQ354)&gt;=0,0,-AP355-SUM($AQ$12:AQ354))</f>
        <v>#DIV/0!</v>
      </c>
      <c r="AR355" s="235">
        <f>IF(SUM($N$13:N354)&gt;=pmo,IF(SUM(N354:$N$501)&gt;(1-pmo),B355,0),0)</f>
        <v>0</v>
      </c>
      <c r="AS355" s="235" t="e">
        <f>IF((SUM($U$13:$U354)/ntudv)&gt;=pmv,IF((SUM($U354:$U$501)/ntudv)&gt;(1-pmv),B355,0),0)</f>
        <v>#DIV/0!</v>
      </c>
      <c r="AT355" s="237" t="e">
        <f>IF(MAX(mmo,mmv)=mmo,IF(B355=AR355,(SUM(N$13:$N354)-pmo)/((1-VLOOKUP(MAX(mmo,mmv)-1,$B$13:$O$501,14))+(VLOOKUP(MAX(mmo,mmv)-1,$B$13:$O$501,14)-pmo)),N354/((1-VLOOKUP(MAX(mmo,mmv)-1,$B$13:$O$501,14)+(VLOOKUP(MAX(mmo,mmv)-1,$B$13:$O$501,14)-pmo)))),N354/(1-VLOOKUP(MAX(mmo,mmv)-2,$B$13:$O$501,14)))</f>
        <v>#DIV/0!</v>
      </c>
      <c r="AU355" s="101" t="e">
        <f t="shared" si="272"/>
        <v>#DIV/0!</v>
      </c>
      <c r="AV355" s="287" t="e">
        <f t="shared" si="273"/>
        <v>#DIV/0!</v>
      </c>
      <c r="AW355" s="235" t="e">
        <f t="shared" si="309"/>
        <v>#DIV/0!</v>
      </c>
      <c r="AX355" s="281">
        <f>IF(B355&gt;mpfo,0,IF(B355=mpfo,(vld-teo*(1+tcfo-incc)^(MAX(mmo,mmv)-mbfo))*-1,IF(SUM($N$13:N354)&gt;=pmo,IF(($V354/ntudv)&gt;=pmv,IF(B355=MAX(mmo,mmv),-teo*(1+tcfo-incc)^(B355-mbfo),0),0),0)))</f>
        <v>0</v>
      </c>
      <c r="AY355" s="292" t="e">
        <f t="shared" si="274"/>
        <v>#DIV/0!</v>
      </c>
      <c r="AZ355" s="235" t="e">
        <f t="shared" si="310"/>
        <v>#DIV/0!</v>
      </c>
      <c r="BA355" s="269" t="e">
        <f t="shared" si="311"/>
        <v>#DIV/0!</v>
      </c>
      <c r="BB355" s="292" t="e">
        <f t="shared" si="312"/>
        <v>#DIV/0!</v>
      </c>
      <c r="BC355" s="238" t="e">
        <f>IF(SUM($BC$13:BC354)&gt;0,0,IF(BB355&gt;0,B355,0))</f>
        <v>#DIV/0!</v>
      </c>
      <c r="BD355" s="292" t="e">
        <f>IF(BB355+SUM($BD$12:BD354)&gt;=0,0,-BB355-SUM($BD$12:BD354))</f>
        <v>#DIV/0!</v>
      </c>
      <c r="BE355" s="235" t="e">
        <f>BB355+SUM($BD$12:BD355)</f>
        <v>#DIV/0!</v>
      </c>
      <c r="BF355" s="292" t="e">
        <f>-MIN(BE355:$BE$501)-SUM(BF$12:$BF354)</f>
        <v>#DIV/0!</v>
      </c>
      <c r="BG355" s="235" t="e">
        <f t="shared" si="277"/>
        <v>#DIV/0!</v>
      </c>
    </row>
    <row r="356" spans="2:59">
      <c r="B356" s="246">
        <v>343</v>
      </c>
      <c r="C356" s="241">
        <f t="shared" si="276"/>
        <v>53118</v>
      </c>
      <c r="D356" s="229">
        <f t="shared" si="278"/>
        <v>6</v>
      </c>
      <c r="E356" s="230" t="str">
        <f t="shared" si="279"/>
        <v>-</v>
      </c>
      <c r="F356" s="231">
        <f t="shared" si="280"/>
        <v>0</v>
      </c>
      <c r="G356" s="231">
        <f t="shared" si="281"/>
        <v>0</v>
      </c>
      <c r="H356" s="231">
        <f t="shared" si="282"/>
        <v>0</v>
      </c>
      <c r="I356" s="268">
        <f t="shared" si="267"/>
        <v>0</v>
      </c>
      <c r="J356" s="269">
        <f t="shared" si="283"/>
        <v>0</v>
      </c>
      <c r="K356" s="269">
        <f t="shared" si="284"/>
        <v>0</v>
      </c>
      <c r="L356" s="269">
        <f t="shared" si="268"/>
        <v>0</v>
      </c>
      <c r="M356" s="269">
        <f t="shared" si="269"/>
        <v>0</v>
      </c>
      <c r="N356" s="233">
        <f>VLOOKUP(B356,Dados!$L$86:$P$90,5)</f>
        <v>0</v>
      </c>
      <c r="O356" s="270">
        <f t="shared" si="285"/>
        <v>0.99999999999999989</v>
      </c>
      <c r="P356" s="269">
        <f t="shared" si="286"/>
        <v>0</v>
      </c>
      <c r="Q356" s="269" t="e">
        <f t="shared" si="287"/>
        <v>#DIV/0!</v>
      </c>
      <c r="R356" s="269">
        <f t="shared" si="288"/>
        <v>0</v>
      </c>
      <c r="S356" s="269" t="e">
        <f t="shared" si="289"/>
        <v>#DIV/0!</v>
      </c>
      <c r="T356" s="269" t="e">
        <f t="shared" si="275"/>
        <v>#DIV/0!</v>
      </c>
      <c r="U356" s="234">
        <f t="shared" si="290"/>
        <v>0</v>
      </c>
      <c r="V356" s="232" t="e">
        <f t="shared" si="291"/>
        <v>#DIV/0!</v>
      </c>
      <c r="W356" s="269" t="e">
        <f t="shared" si="292"/>
        <v>#DIV/0!</v>
      </c>
      <c r="X356" s="235">
        <f t="shared" si="270"/>
        <v>0</v>
      </c>
      <c r="Y356" s="236">
        <f t="shared" si="293"/>
        <v>5</v>
      </c>
      <c r="Z356" s="236" t="e">
        <f t="shared" si="294"/>
        <v>#DIV/0!</v>
      </c>
      <c r="AA356" s="236">
        <f t="shared" si="295"/>
        <v>3</v>
      </c>
      <c r="AB356" s="236" t="e">
        <f t="shared" si="296"/>
        <v>#DIV/0!</v>
      </c>
      <c r="AC356" s="235">
        <f t="shared" si="297"/>
        <v>0</v>
      </c>
      <c r="AD356" s="235">
        <f t="shared" si="298"/>
        <v>0</v>
      </c>
      <c r="AE356" s="279">
        <f t="shared" si="299"/>
        <v>0</v>
      </c>
      <c r="AF356" s="232">
        <f t="shared" si="300"/>
        <v>1</v>
      </c>
      <c r="AG356" s="235">
        <f t="shared" si="301"/>
        <v>0</v>
      </c>
      <c r="AH356" s="269">
        <f t="shared" si="302"/>
        <v>0</v>
      </c>
      <c r="AI356" s="232">
        <f t="shared" si="303"/>
        <v>0</v>
      </c>
      <c r="AJ356" s="235">
        <f t="shared" si="304"/>
        <v>0</v>
      </c>
      <c r="AK356" s="269">
        <f t="shared" si="305"/>
        <v>0</v>
      </c>
      <c r="AL356" s="269">
        <f t="shared" si="271"/>
        <v>0</v>
      </c>
      <c r="AM356" s="281" t="e">
        <f>IF(B356&gt;=mpfo,pos*vvm*Dados!$E$122*(ntudv-SUM(U$301:$U357))-SUM($AM$13:AM355),0)</f>
        <v>#DIV/0!</v>
      </c>
      <c r="AN356" s="269" t="e">
        <f t="shared" si="306"/>
        <v>#DIV/0!</v>
      </c>
      <c r="AO356" s="232" t="e">
        <f t="shared" si="307"/>
        <v>#DIV/0!</v>
      </c>
      <c r="AP356" s="242" t="e">
        <f t="shared" si="308"/>
        <v>#DIV/0!</v>
      </c>
      <c r="AQ356" s="235" t="e">
        <f>IF(AP356+SUM($AQ$12:AQ355)&gt;=0,0,-AP356-SUM($AQ$12:AQ355))</f>
        <v>#DIV/0!</v>
      </c>
      <c r="AR356" s="235">
        <f>IF(SUM($N$13:N355)&gt;=pmo,IF(SUM(N355:$N$501)&gt;(1-pmo),B356,0),0)</f>
        <v>0</v>
      </c>
      <c r="AS356" s="235" t="e">
        <f>IF((SUM($U$13:$U355)/ntudv)&gt;=pmv,IF((SUM($U355:$U$501)/ntudv)&gt;(1-pmv),B356,0),0)</f>
        <v>#DIV/0!</v>
      </c>
      <c r="AT356" s="237" t="e">
        <f>IF(MAX(mmo,mmv)=mmo,IF(B356=AR356,(SUM(N$13:$N355)-pmo)/((1-VLOOKUP(MAX(mmo,mmv)-1,$B$13:$O$501,14))+(VLOOKUP(MAX(mmo,mmv)-1,$B$13:$O$501,14)-pmo)),N355/((1-VLOOKUP(MAX(mmo,mmv)-1,$B$13:$O$501,14)+(VLOOKUP(MAX(mmo,mmv)-1,$B$13:$O$501,14)-pmo)))),N355/(1-VLOOKUP(MAX(mmo,mmv)-2,$B$13:$O$501,14)))</f>
        <v>#DIV/0!</v>
      </c>
      <c r="AU356" s="101" t="e">
        <f t="shared" si="272"/>
        <v>#DIV/0!</v>
      </c>
      <c r="AV356" s="287" t="e">
        <f t="shared" si="273"/>
        <v>#DIV/0!</v>
      </c>
      <c r="AW356" s="235" t="e">
        <f t="shared" si="309"/>
        <v>#DIV/0!</v>
      </c>
      <c r="AX356" s="281">
        <f>IF(B356&gt;mpfo,0,IF(B356=mpfo,(vld-teo*(1+tcfo-incc)^(MAX(mmo,mmv)-mbfo))*-1,IF(SUM($N$13:N355)&gt;=pmo,IF(($V355/ntudv)&gt;=pmv,IF(B356=MAX(mmo,mmv),-teo*(1+tcfo-incc)^(B356-mbfo),0),0),0)))</f>
        <v>0</v>
      </c>
      <c r="AY356" s="292" t="e">
        <f t="shared" si="274"/>
        <v>#DIV/0!</v>
      </c>
      <c r="AZ356" s="235" t="e">
        <f t="shared" si="310"/>
        <v>#DIV/0!</v>
      </c>
      <c r="BA356" s="269" t="e">
        <f t="shared" si="311"/>
        <v>#DIV/0!</v>
      </c>
      <c r="BB356" s="292" t="e">
        <f t="shared" si="312"/>
        <v>#DIV/0!</v>
      </c>
      <c r="BC356" s="238" t="e">
        <f>IF(SUM($BC$13:BC355)&gt;0,0,IF(BB356&gt;0,B356,0))</f>
        <v>#DIV/0!</v>
      </c>
      <c r="BD356" s="292" t="e">
        <f>IF(BB356+SUM($BD$12:BD355)&gt;=0,0,-BB356-SUM($BD$12:BD355))</f>
        <v>#DIV/0!</v>
      </c>
      <c r="BE356" s="235" t="e">
        <f>BB356+SUM($BD$12:BD356)</f>
        <v>#DIV/0!</v>
      </c>
      <c r="BF356" s="292" t="e">
        <f>-MIN(BE356:$BE$501)-SUM(BF$12:$BF355)</f>
        <v>#DIV/0!</v>
      </c>
      <c r="BG356" s="235" t="e">
        <f t="shared" si="277"/>
        <v>#DIV/0!</v>
      </c>
    </row>
    <row r="357" spans="2:59">
      <c r="B357" s="120">
        <v>344</v>
      </c>
      <c r="C357" s="241">
        <f t="shared" si="276"/>
        <v>53148</v>
      </c>
      <c r="D357" s="229">
        <f t="shared" si="278"/>
        <v>7</v>
      </c>
      <c r="E357" s="230" t="str">
        <f t="shared" si="279"/>
        <v>-</v>
      </c>
      <c r="F357" s="231">
        <f t="shared" si="280"/>
        <v>0</v>
      </c>
      <c r="G357" s="231">
        <f t="shared" si="281"/>
        <v>0</v>
      </c>
      <c r="H357" s="231">
        <f t="shared" si="282"/>
        <v>0</v>
      </c>
      <c r="I357" s="268">
        <f t="shared" si="267"/>
        <v>0</v>
      </c>
      <c r="J357" s="269">
        <f t="shared" si="283"/>
        <v>0</v>
      </c>
      <c r="K357" s="269">
        <f t="shared" si="284"/>
        <v>0</v>
      </c>
      <c r="L357" s="269">
        <f t="shared" si="268"/>
        <v>0</v>
      </c>
      <c r="M357" s="269">
        <f t="shared" si="269"/>
        <v>0</v>
      </c>
      <c r="N357" s="233">
        <f>VLOOKUP(B357,Dados!$L$86:$P$90,5)</f>
        <v>0</v>
      </c>
      <c r="O357" s="270">
        <f t="shared" si="285"/>
        <v>0.99999999999999989</v>
      </c>
      <c r="P357" s="269">
        <f t="shared" si="286"/>
        <v>0</v>
      </c>
      <c r="Q357" s="269" t="e">
        <f t="shared" si="287"/>
        <v>#DIV/0!</v>
      </c>
      <c r="R357" s="269">
        <f t="shared" si="288"/>
        <v>0</v>
      </c>
      <c r="S357" s="269" t="e">
        <f t="shared" si="289"/>
        <v>#DIV/0!</v>
      </c>
      <c r="T357" s="269" t="e">
        <f t="shared" si="275"/>
        <v>#DIV/0!</v>
      </c>
      <c r="U357" s="234">
        <f t="shared" si="290"/>
        <v>0</v>
      </c>
      <c r="V357" s="232" t="e">
        <f t="shared" si="291"/>
        <v>#DIV/0!</v>
      </c>
      <c r="W357" s="269" t="e">
        <f t="shared" si="292"/>
        <v>#DIV/0!</v>
      </c>
      <c r="X357" s="235">
        <f t="shared" si="270"/>
        <v>0</v>
      </c>
      <c r="Y357" s="236">
        <f t="shared" si="293"/>
        <v>5</v>
      </c>
      <c r="Z357" s="236" t="e">
        <f t="shared" si="294"/>
        <v>#DIV/0!</v>
      </c>
      <c r="AA357" s="236">
        <f t="shared" si="295"/>
        <v>3</v>
      </c>
      <c r="AB357" s="236" t="e">
        <f t="shared" si="296"/>
        <v>#DIV/0!</v>
      </c>
      <c r="AC357" s="235">
        <f t="shared" si="297"/>
        <v>0</v>
      </c>
      <c r="AD357" s="235">
        <f t="shared" si="298"/>
        <v>0</v>
      </c>
      <c r="AE357" s="279">
        <f t="shared" si="299"/>
        <v>0</v>
      </c>
      <c r="AF357" s="232">
        <f t="shared" si="300"/>
        <v>0</v>
      </c>
      <c r="AG357" s="235">
        <f t="shared" si="301"/>
        <v>0</v>
      </c>
      <c r="AH357" s="269">
        <f t="shared" si="302"/>
        <v>0</v>
      </c>
      <c r="AI357" s="232">
        <f t="shared" si="303"/>
        <v>0</v>
      </c>
      <c r="AJ357" s="235">
        <f t="shared" si="304"/>
        <v>0</v>
      </c>
      <c r="AK357" s="269">
        <f t="shared" si="305"/>
        <v>0</v>
      </c>
      <c r="AL357" s="269">
        <f t="shared" si="271"/>
        <v>0</v>
      </c>
      <c r="AM357" s="281" t="e">
        <f>IF(B357&gt;=mpfo,pos*vvm*Dados!$E$122*(ntudv-SUM(U$301:$U358))-SUM($AM$13:AM356),0)</f>
        <v>#DIV/0!</v>
      </c>
      <c r="AN357" s="269" t="e">
        <f t="shared" si="306"/>
        <v>#DIV/0!</v>
      </c>
      <c r="AO357" s="232" t="e">
        <f t="shared" si="307"/>
        <v>#DIV/0!</v>
      </c>
      <c r="AP357" s="242" t="e">
        <f t="shared" si="308"/>
        <v>#DIV/0!</v>
      </c>
      <c r="AQ357" s="235" t="e">
        <f>IF(AP357+SUM($AQ$12:AQ356)&gt;=0,0,-AP357-SUM($AQ$12:AQ356))</f>
        <v>#DIV/0!</v>
      </c>
      <c r="AR357" s="235">
        <f>IF(SUM($N$13:N356)&gt;=pmo,IF(SUM(N356:$N$501)&gt;(1-pmo),B357,0),0)</f>
        <v>0</v>
      </c>
      <c r="AS357" s="235" t="e">
        <f>IF((SUM($U$13:$U356)/ntudv)&gt;=pmv,IF((SUM($U356:$U$501)/ntudv)&gt;(1-pmv),B357,0),0)</f>
        <v>#DIV/0!</v>
      </c>
      <c r="AT357" s="237" t="e">
        <f>IF(MAX(mmo,mmv)=mmo,IF(B357=AR357,(SUM(N$13:$N356)-pmo)/((1-VLOOKUP(MAX(mmo,mmv)-1,$B$13:$O$501,14))+(VLOOKUP(MAX(mmo,mmv)-1,$B$13:$O$501,14)-pmo)),N356/((1-VLOOKUP(MAX(mmo,mmv)-1,$B$13:$O$501,14)+(VLOOKUP(MAX(mmo,mmv)-1,$B$13:$O$501,14)-pmo)))),N356/(1-VLOOKUP(MAX(mmo,mmv)-2,$B$13:$O$501,14)))</f>
        <v>#DIV/0!</v>
      </c>
      <c r="AU357" s="101" t="e">
        <f t="shared" si="272"/>
        <v>#DIV/0!</v>
      </c>
      <c r="AV357" s="287" t="e">
        <f t="shared" si="273"/>
        <v>#DIV/0!</v>
      </c>
      <c r="AW357" s="235" t="e">
        <f t="shared" si="309"/>
        <v>#DIV/0!</v>
      </c>
      <c r="AX357" s="281">
        <f>IF(B357&gt;mpfo,0,IF(B357=mpfo,(vld-teo*(1+tcfo-incc)^(MAX(mmo,mmv)-mbfo))*-1,IF(SUM($N$13:N356)&gt;=pmo,IF(($V356/ntudv)&gt;=pmv,IF(B357=MAX(mmo,mmv),-teo*(1+tcfo-incc)^(B357-mbfo),0),0),0)))</f>
        <v>0</v>
      </c>
      <c r="AY357" s="292" t="e">
        <f t="shared" si="274"/>
        <v>#DIV/0!</v>
      </c>
      <c r="AZ357" s="235" t="e">
        <f t="shared" si="310"/>
        <v>#DIV/0!</v>
      </c>
      <c r="BA357" s="269" t="e">
        <f t="shared" si="311"/>
        <v>#DIV/0!</v>
      </c>
      <c r="BB357" s="292" t="e">
        <f t="shared" si="312"/>
        <v>#DIV/0!</v>
      </c>
      <c r="BC357" s="238" t="e">
        <f>IF(SUM($BC$13:BC356)&gt;0,0,IF(BB357&gt;0,B357,0))</f>
        <v>#DIV/0!</v>
      </c>
      <c r="BD357" s="292" t="e">
        <f>IF(BB357+SUM($BD$12:BD356)&gt;=0,0,-BB357-SUM($BD$12:BD356))</f>
        <v>#DIV/0!</v>
      </c>
      <c r="BE357" s="235" t="e">
        <f>BB357+SUM($BD$12:BD357)</f>
        <v>#DIV/0!</v>
      </c>
      <c r="BF357" s="292" t="e">
        <f>-MIN(BE357:$BE$501)-SUM(BF$12:$BF356)</f>
        <v>#DIV/0!</v>
      </c>
      <c r="BG357" s="235" t="e">
        <f t="shared" si="277"/>
        <v>#DIV/0!</v>
      </c>
    </row>
    <row r="358" spans="2:59">
      <c r="B358" s="246">
        <v>345</v>
      </c>
      <c r="C358" s="241">
        <f t="shared" si="276"/>
        <v>53179</v>
      </c>
      <c r="D358" s="229">
        <f t="shared" si="278"/>
        <v>8</v>
      </c>
      <c r="E358" s="230" t="str">
        <f t="shared" si="279"/>
        <v>-</v>
      </c>
      <c r="F358" s="231">
        <f t="shared" si="280"/>
        <v>0</v>
      </c>
      <c r="G358" s="231">
        <f t="shared" si="281"/>
        <v>0</v>
      </c>
      <c r="H358" s="231">
        <f t="shared" si="282"/>
        <v>0</v>
      </c>
      <c r="I358" s="268">
        <f t="shared" si="267"/>
        <v>0</v>
      </c>
      <c r="J358" s="269">
        <f t="shared" si="283"/>
        <v>0</v>
      </c>
      <c r="K358" s="269">
        <f t="shared" si="284"/>
        <v>0</v>
      </c>
      <c r="L358" s="269">
        <f t="shared" si="268"/>
        <v>0</v>
      </c>
      <c r="M358" s="269">
        <f t="shared" si="269"/>
        <v>0</v>
      </c>
      <c r="N358" s="233">
        <f>VLOOKUP(B358,Dados!$L$86:$P$90,5)</f>
        <v>0</v>
      </c>
      <c r="O358" s="270">
        <f t="shared" si="285"/>
        <v>0.99999999999999989</v>
      </c>
      <c r="P358" s="269">
        <f t="shared" si="286"/>
        <v>0</v>
      </c>
      <c r="Q358" s="269" t="e">
        <f t="shared" si="287"/>
        <v>#DIV/0!</v>
      </c>
      <c r="R358" s="269">
        <f t="shared" si="288"/>
        <v>0</v>
      </c>
      <c r="S358" s="269" t="e">
        <f t="shared" si="289"/>
        <v>#DIV/0!</v>
      </c>
      <c r="T358" s="269" t="e">
        <f t="shared" si="275"/>
        <v>#DIV/0!</v>
      </c>
      <c r="U358" s="234">
        <f t="shared" si="290"/>
        <v>0</v>
      </c>
      <c r="V358" s="232" t="e">
        <f t="shared" si="291"/>
        <v>#DIV/0!</v>
      </c>
      <c r="W358" s="269" t="e">
        <f t="shared" si="292"/>
        <v>#DIV/0!</v>
      </c>
      <c r="X358" s="235">
        <f t="shared" si="270"/>
        <v>0</v>
      </c>
      <c r="Y358" s="236">
        <f t="shared" si="293"/>
        <v>5</v>
      </c>
      <c r="Z358" s="236" t="e">
        <f t="shared" si="294"/>
        <v>#DIV/0!</v>
      </c>
      <c r="AA358" s="236">
        <f t="shared" si="295"/>
        <v>3</v>
      </c>
      <c r="AB358" s="236" t="e">
        <f t="shared" si="296"/>
        <v>#DIV/0!</v>
      </c>
      <c r="AC358" s="235">
        <f t="shared" si="297"/>
        <v>0</v>
      </c>
      <c r="AD358" s="235">
        <f t="shared" si="298"/>
        <v>0</v>
      </c>
      <c r="AE358" s="279">
        <f t="shared" si="299"/>
        <v>0</v>
      </c>
      <c r="AF358" s="232">
        <f t="shared" si="300"/>
        <v>0</v>
      </c>
      <c r="AG358" s="235">
        <f t="shared" si="301"/>
        <v>0</v>
      </c>
      <c r="AH358" s="269">
        <f t="shared" si="302"/>
        <v>0</v>
      </c>
      <c r="AI358" s="232">
        <f t="shared" si="303"/>
        <v>0</v>
      </c>
      <c r="AJ358" s="235">
        <f t="shared" si="304"/>
        <v>0</v>
      </c>
      <c r="AK358" s="269">
        <f t="shared" si="305"/>
        <v>0</v>
      </c>
      <c r="AL358" s="269">
        <f t="shared" si="271"/>
        <v>0</v>
      </c>
      <c r="AM358" s="281" t="e">
        <f>IF(B358&gt;=mpfo,pos*vvm*Dados!$E$122*(ntudv-SUM(U$301:$U359))-SUM($AM$13:AM357),0)</f>
        <v>#DIV/0!</v>
      </c>
      <c r="AN358" s="269" t="e">
        <f t="shared" si="306"/>
        <v>#DIV/0!</v>
      </c>
      <c r="AO358" s="232" t="e">
        <f t="shared" si="307"/>
        <v>#DIV/0!</v>
      </c>
      <c r="AP358" s="242" t="e">
        <f t="shared" si="308"/>
        <v>#DIV/0!</v>
      </c>
      <c r="AQ358" s="235" t="e">
        <f>IF(AP358+SUM($AQ$12:AQ357)&gt;=0,0,-AP358-SUM($AQ$12:AQ357))</f>
        <v>#DIV/0!</v>
      </c>
      <c r="AR358" s="235">
        <f>IF(SUM($N$13:N357)&gt;=pmo,IF(SUM(N357:$N$501)&gt;(1-pmo),B358,0),0)</f>
        <v>0</v>
      </c>
      <c r="AS358" s="235" t="e">
        <f>IF((SUM($U$13:$U357)/ntudv)&gt;=pmv,IF((SUM($U357:$U$501)/ntudv)&gt;(1-pmv),B358,0),0)</f>
        <v>#DIV/0!</v>
      </c>
      <c r="AT358" s="237" t="e">
        <f>IF(MAX(mmo,mmv)=mmo,IF(B358=AR358,(SUM(N$13:$N357)-pmo)/((1-VLOOKUP(MAX(mmo,mmv)-1,$B$13:$O$501,14))+(VLOOKUP(MAX(mmo,mmv)-1,$B$13:$O$501,14)-pmo)),N357/((1-VLOOKUP(MAX(mmo,mmv)-1,$B$13:$O$501,14)+(VLOOKUP(MAX(mmo,mmv)-1,$B$13:$O$501,14)-pmo)))),N357/(1-VLOOKUP(MAX(mmo,mmv)-2,$B$13:$O$501,14)))</f>
        <v>#DIV/0!</v>
      </c>
      <c r="AU358" s="101" t="e">
        <f t="shared" si="272"/>
        <v>#DIV/0!</v>
      </c>
      <c r="AV358" s="287" t="e">
        <f t="shared" si="273"/>
        <v>#DIV/0!</v>
      </c>
      <c r="AW358" s="235" t="e">
        <f t="shared" si="309"/>
        <v>#DIV/0!</v>
      </c>
      <c r="AX358" s="281">
        <f>IF(B358&gt;mpfo,0,IF(B358=mpfo,(vld-teo*(1+tcfo-incc)^(MAX(mmo,mmv)-mbfo))*-1,IF(SUM($N$13:N357)&gt;=pmo,IF(($V357/ntudv)&gt;=pmv,IF(B358=MAX(mmo,mmv),-teo*(1+tcfo-incc)^(B358-mbfo),0),0),0)))</f>
        <v>0</v>
      </c>
      <c r="AY358" s="292" t="e">
        <f t="shared" si="274"/>
        <v>#DIV/0!</v>
      </c>
      <c r="AZ358" s="235" t="e">
        <f t="shared" si="310"/>
        <v>#DIV/0!</v>
      </c>
      <c r="BA358" s="269" t="e">
        <f t="shared" si="311"/>
        <v>#DIV/0!</v>
      </c>
      <c r="BB358" s="292" t="e">
        <f t="shared" si="312"/>
        <v>#DIV/0!</v>
      </c>
      <c r="BC358" s="238" t="e">
        <f>IF(SUM($BC$13:BC357)&gt;0,0,IF(BB358&gt;0,B358,0))</f>
        <v>#DIV/0!</v>
      </c>
      <c r="BD358" s="292" t="e">
        <f>IF(BB358+SUM($BD$12:BD357)&gt;=0,0,-BB358-SUM($BD$12:BD357))</f>
        <v>#DIV/0!</v>
      </c>
      <c r="BE358" s="235" t="e">
        <f>BB358+SUM($BD$12:BD358)</f>
        <v>#DIV/0!</v>
      </c>
      <c r="BF358" s="292" t="e">
        <f>-MIN(BE358:$BE$501)-SUM(BF$12:$BF357)</f>
        <v>#DIV/0!</v>
      </c>
      <c r="BG358" s="235" t="e">
        <f t="shared" si="277"/>
        <v>#DIV/0!</v>
      </c>
    </row>
    <row r="359" spans="2:59">
      <c r="B359" s="120">
        <v>346</v>
      </c>
      <c r="C359" s="241">
        <f t="shared" si="276"/>
        <v>53210</v>
      </c>
      <c r="D359" s="229">
        <f t="shared" si="278"/>
        <v>9</v>
      </c>
      <c r="E359" s="230" t="str">
        <f t="shared" si="279"/>
        <v>-</v>
      </c>
      <c r="F359" s="231">
        <f t="shared" si="280"/>
        <v>0</v>
      </c>
      <c r="G359" s="231">
        <f t="shared" si="281"/>
        <v>0</v>
      </c>
      <c r="H359" s="231">
        <f t="shared" si="282"/>
        <v>0</v>
      </c>
      <c r="I359" s="268">
        <f t="shared" si="267"/>
        <v>0</v>
      </c>
      <c r="J359" s="269">
        <f t="shared" si="283"/>
        <v>0</v>
      </c>
      <c r="K359" s="269">
        <f t="shared" si="284"/>
        <v>0</v>
      </c>
      <c r="L359" s="269">
        <f t="shared" si="268"/>
        <v>0</v>
      </c>
      <c r="M359" s="269">
        <f t="shared" si="269"/>
        <v>0</v>
      </c>
      <c r="N359" s="233">
        <f>VLOOKUP(B359,Dados!$L$86:$P$90,5)</f>
        <v>0</v>
      </c>
      <c r="O359" s="270">
        <f t="shared" si="285"/>
        <v>0.99999999999999989</v>
      </c>
      <c r="P359" s="269">
        <f t="shared" si="286"/>
        <v>0</v>
      </c>
      <c r="Q359" s="269" t="e">
        <f t="shared" si="287"/>
        <v>#DIV/0!</v>
      </c>
      <c r="R359" s="269">
        <f t="shared" si="288"/>
        <v>0</v>
      </c>
      <c r="S359" s="269" t="e">
        <f t="shared" si="289"/>
        <v>#DIV/0!</v>
      </c>
      <c r="T359" s="269" t="e">
        <f t="shared" si="275"/>
        <v>#DIV/0!</v>
      </c>
      <c r="U359" s="234">
        <f t="shared" si="290"/>
        <v>0</v>
      </c>
      <c r="V359" s="232" t="e">
        <f t="shared" si="291"/>
        <v>#DIV/0!</v>
      </c>
      <c r="W359" s="269" t="e">
        <f t="shared" si="292"/>
        <v>#DIV/0!</v>
      </c>
      <c r="X359" s="235">
        <f t="shared" si="270"/>
        <v>0</v>
      </c>
      <c r="Y359" s="236">
        <f t="shared" si="293"/>
        <v>5</v>
      </c>
      <c r="Z359" s="236" t="e">
        <f t="shared" si="294"/>
        <v>#DIV/0!</v>
      </c>
      <c r="AA359" s="236">
        <f t="shared" si="295"/>
        <v>3</v>
      </c>
      <c r="AB359" s="236" t="e">
        <f t="shared" si="296"/>
        <v>#DIV/0!</v>
      </c>
      <c r="AC359" s="235">
        <f t="shared" si="297"/>
        <v>0</v>
      </c>
      <c r="AD359" s="235">
        <f t="shared" si="298"/>
        <v>0</v>
      </c>
      <c r="AE359" s="279">
        <f t="shared" si="299"/>
        <v>0</v>
      </c>
      <c r="AF359" s="232">
        <f t="shared" si="300"/>
        <v>0</v>
      </c>
      <c r="AG359" s="235">
        <f t="shared" si="301"/>
        <v>0</v>
      </c>
      <c r="AH359" s="269">
        <f t="shared" si="302"/>
        <v>0</v>
      </c>
      <c r="AI359" s="232">
        <f t="shared" si="303"/>
        <v>0</v>
      </c>
      <c r="AJ359" s="235">
        <f t="shared" si="304"/>
        <v>0</v>
      </c>
      <c r="AK359" s="269">
        <f t="shared" si="305"/>
        <v>0</v>
      </c>
      <c r="AL359" s="269">
        <f t="shared" si="271"/>
        <v>0</v>
      </c>
      <c r="AM359" s="281" t="e">
        <f>IF(B359&gt;=mpfo,pos*vvm*Dados!$E$122*(ntudv-SUM(U$301:$U360))-SUM($AM$13:AM358),0)</f>
        <v>#DIV/0!</v>
      </c>
      <c r="AN359" s="269" t="e">
        <f t="shared" si="306"/>
        <v>#DIV/0!</v>
      </c>
      <c r="AO359" s="232" t="e">
        <f t="shared" si="307"/>
        <v>#DIV/0!</v>
      </c>
      <c r="AP359" s="242" t="e">
        <f t="shared" si="308"/>
        <v>#DIV/0!</v>
      </c>
      <c r="AQ359" s="235" t="e">
        <f>IF(AP359+SUM($AQ$12:AQ358)&gt;=0,0,-AP359-SUM($AQ$12:AQ358))</f>
        <v>#DIV/0!</v>
      </c>
      <c r="AR359" s="235">
        <f>IF(SUM($N$13:N358)&gt;=pmo,IF(SUM(N358:$N$501)&gt;(1-pmo),B359,0),0)</f>
        <v>0</v>
      </c>
      <c r="AS359" s="235" t="e">
        <f>IF((SUM($U$13:$U358)/ntudv)&gt;=pmv,IF((SUM($U358:$U$501)/ntudv)&gt;(1-pmv),B359,0),0)</f>
        <v>#DIV/0!</v>
      </c>
      <c r="AT359" s="237" t="e">
        <f>IF(MAX(mmo,mmv)=mmo,IF(B359=AR359,(SUM(N$13:$N358)-pmo)/((1-VLOOKUP(MAX(mmo,mmv)-1,$B$13:$O$501,14))+(VLOOKUP(MAX(mmo,mmv)-1,$B$13:$O$501,14)-pmo)),N358/((1-VLOOKUP(MAX(mmo,mmv)-1,$B$13:$O$501,14)+(VLOOKUP(MAX(mmo,mmv)-1,$B$13:$O$501,14)-pmo)))),N358/(1-VLOOKUP(MAX(mmo,mmv)-2,$B$13:$O$501,14)))</f>
        <v>#DIV/0!</v>
      </c>
      <c r="AU359" s="101" t="e">
        <f t="shared" si="272"/>
        <v>#DIV/0!</v>
      </c>
      <c r="AV359" s="287" t="e">
        <f t="shared" si="273"/>
        <v>#DIV/0!</v>
      </c>
      <c r="AW359" s="235" t="e">
        <f t="shared" si="309"/>
        <v>#DIV/0!</v>
      </c>
      <c r="AX359" s="281">
        <f>IF(B359&gt;mpfo,0,IF(B359=mpfo,(vld-teo*(1+tcfo-incc)^(MAX(mmo,mmv)-mbfo))*-1,IF(SUM($N$13:N358)&gt;=pmo,IF(($V358/ntudv)&gt;=pmv,IF(B359=MAX(mmo,mmv),-teo*(1+tcfo-incc)^(B359-mbfo),0),0),0)))</f>
        <v>0</v>
      </c>
      <c r="AY359" s="292" t="e">
        <f t="shared" si="274"/>
        <v>#DIV/0!</v>
      </c>
      <c r="AZ359" s="235" t="e">
        <f t="shared" si="310"/>
        <v>#DIV/0!</v>
      </c>
      <c r="BA359" s="269" t="e">
        <f t="shared" si="311"/>
        <v>#DIV/0!</v>
      </c>
      <c r="BB359" s="292" t="e">
        <f t="shared" si="312"/>
        <v>#DIV/0!</v>
      </c>
      <c r="BC359" s="238" t="e">
        <f>IF(SUM($BC$13:BC358)&gt;0,0,IF(BB359&gt;0,B359,0))</f>
        <v>#DIV/0!</v>
      </c>
      <c r="BD359" s="292" t="e">
        <f>IF(BB359+SUM($BD$12:BD358)&gt;=0,0,-BB359-SUM($BD$12:BD358))</f>
        <v>#DIV/0!</v>
      </c>
      <c r="BE359" s="235" t="e">
        <f>BB359+SUM($BD$12:BD359)</f>
        <v>#DIV/0!</v>
      </c>
      <c r="BF359" s="292" t="e">
        <f>-MIN(BE359:$BE$501)-SUM(BF$12:$BF358)</f>
        <v>#DIV/0!</v>
      </c>
      <c r="BG359" s="235" t="e">
        <f t="shared" si="277"/>
        <v>#DIV/0!</v>
      </c>
    </row>
    <row r="360" spans="2:59">
      <c r="B360" s="246">
        <v>347</v>
      </c>
      <c r="C360" s="241">
        <f t="shared" si="276"/>
        <v>53240</v>
      </c>
      <c r="D360" s="229">
        <f t="shared" si="278"/>
        <v>10</v>
      </c>
      <c r="E360" s="230" t="str">
        <f t="shared" si="279"/>
        <v>-</v>
      </c>
      <c r="F360" s="231">
        <f t="shared" si="280"/>
        <v>0</v>
      </c>
      <c r="G360" s="231">
        <f t="shared" si="281"/>
        <v>0</v>
      </c>
      <c r="H360" s="231">
        <f t="shared" si="282"/>
        <v>0</v>
      </c>
      <c r="I360" s="268">
        <f t="shared" si="267"/>
        <v>0</v>
      </c>
      <c r="J360" s="269">
        <f t="shared" si="283"/>
        <v>0</v>
      </c>
      <c r="K360" s="269">
        <f t="shared" si="284"/>
        <v>0</v>
      </c>
      <c r="L360" s="269">
        <f t="shared" si="268"/>
        <v>0</v>
      </c>
      <c r="M360" s="269">
        <f t="shared" si="269"/>
        <v>0</v>
      </c>
      <c r="N360" s="233">
        <f>VLOOKUP(B360,Dados!$L$86:$P$90,5)</f>
        <v>0</v>
      </c>
      <c r="O360" s="270">
        <f t="shared" si="285"/>
        <v>0.99999999999999989</v>
      </c>
      <c r="P360" s="269">
        <f t="shared" si="286"/>
        <v>0</v>
      </c>
      <c r="Q360" s="269" t="e">
        <f t="shared" si="287"/>
        <v>#DIV/0!</v>
      </c>
      <c r="R360" s="269">
        <f t="shared" si="288"/>
        <v>0</v>
      </c>
      <c r="S360" s="269" t="e">
        <f t="shared" si="289"/>
        <v>#DIV/0!</v>
      </c>
      <c r="T360" s="269" t="e">
        <f t="shared" si="275"/>
        <v>#DIV/0!</v>
      </c>
      <c r="U360" s="234">
        <f t="shared" si="290"/>
        <v>0</v>
      </c>
      <c r="V360" s="232" t="e">
        <f t="shared" si="291"/>
        <v>#DIV/0!</v>
      </c>
      <c r="W360" s="269" t="e">
        <f t="shared" si="292"/>
        <v>#DIV/0!</v>
      </c>
      <c r="X360" s="235">
        <f t="shared" si="270"/>
        <v>0</v>
      </c>
      <c r="Y360" s="236">
        <f t="shared" si="293"/>
        <v>5</v>
      </c>
      <c r="Z360" s="236" t="e">
        <f t="shared" si="294"/>
        <v>#DIV/0!</v>
      </c>
      <c r="AA360" s="236">
        <f t="shared" si="295"/>
        <v>3</v>
      </c>
      <c r="AB360" s="236" t="e">
        <f t="shared" si="296"/>
        <v>#DIV/0!</v>
      </c>
      <c r="AC360" s="235">
        <f t="shared" si="297"/>
        <v>0</v>
      </c>
      <c r="AD360" s="235">
        <f t="shared" si="298"/>
        <v>0</v>
      </c>
      <c r="AE360" s="279">
        <f t="shared" si="299"/>
        <v>0</v>
      </c>
      <c r="AF360" s="232">
        <f t="shared" si="300"/>
        <v>0</v>
      </c>
      <c r="AG360" s="235">
        <f t="shared" si="301"/>
        <v>0</v>
      </c>
      <c r="AH360" s="269">
        <f t="shared" si="302"/>
        <v>0</v>
      </c>
      <c r="AI360" s="232">
        <f t="shared" si="303"/>
        <v>0</v>
      </c>
      <c r="AJ360" s="235">
        <f t="shared" si="304"/>
        <v>0</v>
      </c>
      <c r="AK360" s="269">
        <f t="shared" si="305"/>
        <v>0</v>
      </c>
      <c r="AL360" s="269">
        <f t="shared" si="271"/>
        <v>0</v>
      </c>
      <c r="AM360" s="281" t="e">
        <f>IF(B360&gt;=mpfo,pos*vvm*Dados!$E$122*(ntudv-SUM(U$301:$U361))-SUM($AM$13:AM359),0)</f>
        <v>#DIV/0!</v>
      </c>
      <c r="AN360" s="269" t="e">
        <f t="shared" si="306"/>
        <v>#DIV/0!</v>
      </c>
      <c r="AO360" s="232" t="e">
        <f t="shared" si="307"/>
        <v>#DIV/0!</v>
      </c>
      <c r="AP360" s="242" t="e">
        <f t="shared" si="308"/>
        <v>#DIV/0!</v>
      </c>
      <c r="AQ360" s="235" t="e">
        <f>IF(AP360+SUM($AQ$12:AQ359)&gt;=0,0,-AP360-SUM($AQ$12:AQ359))</f>
        <v>#DIV/0!</v>
      </c>
      <c r="AR360" s="235">
        <f>IF(SUM($N$13:N359)&gt;=pmo,IF(SUM(N359:$N$501)&gt;(1-pmo),B360,0),0)</f>
        <v>0</v>
      </c>
      <c r="AS360" s="235" t="e">
        <f>IF((SUM($U$13:$U359)/ntudv)&gt;=pmv,IF((SUM($U359:$U$501)/ntudv)&gt;(1-pmv),B360,0),0)</f>
        <v>#DIV/0!</v>
      </c>
      <c r="AT360" s="237" t="e">
        <f>IF(MAX(mmo,mmv)=mmo,IF(B360=AR360,(SUM(N$13:$N359)-pmo)/((1-VLOOKUP(MAX(mmo,mmv)-1,$B$13:$O$501,14))+(VLOOKUP(MAX(mmo,mmv)-1,$B$13:$O$501,14)-pmo)),N359/((1-VLOOKUP(MAX(mmo,mmv)-1,$B$13:$O$501,14)+(VLOOKUP(MAX(mmo,mmv)-1,$B$13:$O$501,14)-pmo)))),N359/(1-VLOOKUP(MAX(mmo,mmv)-2,$B$13:$O$501,14)))</f>
        <v>#DIV/0!</v>
      </c>
      <c r="AU360" s="101" t="e">
        <f t="shared" si="272"/>
        <v>#DIV/0!</v>
      </c>
      <c r="AV360" s="287" t="e">
        <f t="shared" si="273"/>
        <v>#DIV/0!</v>
      </c>
      <c r="AW360" s="235" t="e">
        <f t="shared" si="309"/>
        <v>#DIV/0!</v>
      </c>
      <c r="AX360" s="281">
        <f>IF(B360&gt;mpfo,0,IF(B360=mpfo,(vld-teo*(1+tcfo-incc)^(MAX(mmo,mmv)-mbfo))*-1,IF(SUM($N$13:N359)&gt;=pmo,IF(($V359/ntudv)&gt;=pmv,IF(B360=MAX(mmo,mmv),-teo*(1+tcfo-incc)^(B360-mbfo),0),0),0)))</f>
        <v>0</v>
      </c>
      <c r="AY360" s="292" t="e">
        <f t="shared" si="274"/>
        <v>#DIV/0!</v>
      </c>
      <c r="AZ360" s="235" t="e">
        <f t="shared" si="310"/>
        <v>#DIV/0!</v>
      </c>
      <c r="BA360" s="269" t="e">
        <f t="shared" si="311"/>
        <v>#DIV/0!</v>
      </c>
      <c r="BB360" s="292" t="e">
        <f t="shared" si="312"/>
        <v>#DIV/0!</v>
      </c>
      <c r="BC360" s="238" t="e">
        <f>IF(SUM($BC$13:BC359)&gt;0,0,IF(BB360&gt;0,B360,0))</f>
        <v>#DIV/0!</v>
      </c>
      <c r="BD360" s="292" t="e">
        <f>IF(BB360+SUM($BD$12:BD359)&gt;=0,0,-BB360-SUM($BD$12:BD359))</f>
        <v>#DIV/0!</v>
      </c>
      <c r="BE360" s="235" t="e">
        <f>BB360+SUM($BD$12:BD360)</f>
        <v>#DIV/0!</v>
      </c>
      <c r="BF360" s="292" t="e">
        <f>-MIN(BE360:$BE$501)-SUM(BF$12:$BF359)</f>
        <v>#DIV/0!</v>
      </c>
      <c r="BG360" s="235" t="e">
        <f t="shared" si="277"/>
        <v>#DIV/0!</v>
      </c>
    </row>
    <row r="361" spans="2:59">
      <c r="B361" s="120">
        <v>348</v>
      </c>
      <c r="C361" s="241">
        <f t="shared" si="276"/>
        <v>53271</v>
      </c>
      <c r="D361" s="229">
        <f t="shared" si="278"/>
        <v>11</v>
      </c>
      <c r="E361" s="230" t="str">
        <f t="shared" si="279"/>
        <v>-</v>
      </c>
      <c r="F361" s="231">
        <f t="shared" si="280"/>
        <v>0</v>
      </c>
      <c r="G361" s="231">
        <f t="shared" si="281"/>
        <v>0</v>
      </c>
      <c r="H361" s="231">
        <f t="shared" si="282"/>
        <v>0</v>
      </c>
      <c r="I361" s="268">
        <f t="shared" si="267"/>
        <v>0</v>
      </c>
      <c r="J361" s="269">
        <f t="shared" si="283"/>
        <v>0</v>
      </c>
      <c r="K361" s="269">
        <f t="shared" si="284"/>
        <v>0</v>
      </c>
      <c r="L361" s="269">
        <f t="shared" si="268"/>
        <v>0</v>
      </c>
      <c r="M361" s="269">
        <f t="shared" si="269"/>
        <v>0</v>
      </c>
      <c r="N361" s="233">
        <f>VLOOKUP(B361,Dados!$L$86:$P$90,5)</f>
        <v>0</v>
      </c>
      <c r="O361" s="270">
        <f t="shared" si="285"/>
        <v>0.99999999999999989</v>
      </c>
      <c r="P361" s="269">
        <f t="shared" si="286"/>
        <v>0</v>
      </c>
      <c r="Q361" s="269" t="e">
        <f t="shared" si="287"/>
        <v>#DIV/0!</v>
      </c>
      <c r="R361" s="269">
        <f t="shared" si="288"/>
        <v>0</v>
      </c>
      <c r="S361" s="269" t="e">
        <f t="shared" si="289"/>
        <v>#DIV/0!</v>
      </c>
      <c r="T361" s="269" t="e">
        <f t="shared" si="275"/>
        <v>#DIV/0!</v>
      </c>
      <c r="U361" s="234">
        <f t="shared" si="290"/>
        <v>0</v>
      </c>
      <c r="V361" s="232" t="e">
        <f t="shared" si="291"/>
        <v>#DIV/0!</v>
      </c>
      <c r="W361" s="269" t="e">
        <f t="shared" si="292"/>
        <v>#DIV/0!</v>
      </c>
      <c r="X361" s="235">
        <f t="shared" si="270"/>
        <v>0</v>
      </c>
      <c r="Y361" s="236">
        <f t="shared" si="293"/>
        <v>5</v>
      </c>
      <c r="Z361" s="236" t="e">
        <f t="shared" si="294"/>
        <v>#DIV/0!</v>
      </c>
      <c r="AA361" s="236">
        <f t="shared" si="295"/>
        <v>3</v>
      </c>
      <c r="AB361" s="236" t="e">
        <f t="shared" si="296"/>
        <v>#DIV/0!</v>
      </c>
      <c r="AC361" s="235">
        <f t="shared" si="297"/>
        <v>0</v>
      </c>
      <c r="AD361" s="235">
        <f t="shared" si="298"/>
        <v>0</v>
      </c>
      <c r="AE361" s="279">
        <f t="shared" si="299"/>
        <v>0</v>
      </c>
      <c r="AF361" s="232">
        <f t="shared" si="300"/>
        <v>0</v>
      </c>
      <c r="AG361" s="235">
        <f t="shared" si="301"/>
        <v>0</v>
      </c>
      <c r="AH361" s="269">
        <f t="shared" si="302"/>
        <v>0</v>
      </c>
      <c r="AI361" s="232">
        <f t="shared" si="303"/>
        <v>0</v>
      </c>
      <c r="AJ361" s="235">
        <f t="shared" si="304"/>
        <v>0</v>
      </c>
      <c r="AK361" s="269">
        <f t="shared" si="305"/>
        <v>0</v>
      </c>
      <c r="AL361" s="269">
        <f t="shared" si="271"/>
        <v>0</v>
      </c>
      <c r="AM361" s="281" t="e">
        <f>IF(B361&gt;=mpfo,pos*vvm*Dados!$E$122*(ntudv-SUM(U$301:$U362))-SUM($AM$13:AM360),0)</f>
        <v>#DIV/0!</v>
      </c>
      <c r="AN361" s="269" t="e">
        <f t="shared" si="306"/>
        <v>#DIV/0!</v>
      </c>
      <c r="AO361" s="232" t="e">
        <f t="shared" si="307"/>
        <v>#DIV/0!</v>
      </c>
      <c r="AP361" s="242" t="e">
        <f t="shared" si="308"/>
        <v>#DIV/0!</v>
      </c>
      <c r="AQ361" s="235" t="e">
        <f>IF(AP361+SUM($AQ$12:AQ360)&gt;=0,0,-AP361-SUM($AQ$12:AQ360))</f>
        <v>#DIV/0!</v>
      </c>
      <c r="AR361" s="235">
        <f>IF(SUM($N$13:N360)&gt;=pmo,IF(SUM(N360:$N$501)&gt;(1-pmo),B361,0),0)</f>
        <v>0</v>
      </c>
      <c r="AS361" s="235" t="e">
        <f>IF((SUM($U$13:$U360)/ntudv)&gt;=pmv,IF((SUM($U360:$U$501)/ntudv)&gt;(1-pmv),B361,0),0)</f>
        <v>#DIV/0!</v>
      </c>
      <c r="AT361" s="237" t="e">
        <f>IF(MAX(mmo,mmv)=mmo,IF(B361=AR361,(SUM(N$13:$N360)-pmo)/((1-VLOOKUP(MAX(mmo,mmv)-1,$B$13:$O$501,14))+(VLOOKUP(MAX(mmo,mmv)-1,$B$13:$O$501,14)-pmo)),N360/((1-VLOOKUP(MAX(mmo,mmv)-1,$B$13:$O$501,14)+(VLOOKUP(MAX(mmo,mmv)-1,$B$13:$O$501,14)-pmo)))),N360/(1-VLOOKUP(MAX(mmo,mmv)-2,$B$13:$O$501,14)))</f>
        <v>#DIV/0!</v>
      </c>
      <c r="AU361" s="101" t="e">
        <f t="shared" si="272"/>
        <v>#DIV/0!</v>
      </c>
      <c r="AV361" s="287" t="e">
        <f t="shared" si="273"/>
        <v>#DIV/0!</v>
      </c>
      <c r="AW361" s="235" t="e">
        <f t="shared" si="309"/>
        <v>#DIV/0!</v>
      </c>
      <c r="AX361" s="281">
        <f>IF(B361&gt;mpfo,0,IF(B361=mpfo,(vld-teo*(1+tcfo-incc)^(MAX(mmo,mmv)-mbfo))*-1,IF(SUM($N$13:N360)&gt;=pmo,IF(($V360/ntudv)&gt;=pmv,IF(B361=MAX(mmo,mmv),-teo*(1+tcfo-incc)^(B361-mbfo),0),0),0)))</f>
        <v>0</v>
      </c>
      <c r="AY361" s="292" t="e">
        <f t="shared" si="274"/>
        <v>#DIV/0!</v>
      </c>
      <c r="AZ361" s="235" t="e">
        <f t="shared" si="310"/>
        <v>#DIV/0!</v>
      </c>
      <c r="BA361" s="269" t="e">
        <f t="shared" si="311"/>
        <v>#DIV/0!</v>
      </c>
      <c r="BB361" s="292" t="e">
        <f t="shared" si="312"/>
        <v>#DIV/0!</v>
      </c>
      <c r="BC361" s="238" t="e">
        <f>IF(SUM($BC$13:BC360)&gt;0,0,IF(BB361&gt;0,B361,0))</f>
        <v>#DIV/0!</v>
      </c>
      <c r="BD361" s="292" t="e">
        <f>IF(BB361+SUM($BD$12:BD360)&gt;=0,0,-BB361-SUM($BD$12:BD360))</f>
        <v>#DIV/0!</v>
      </c>
      <c r="BE361" s="235" t="e">
        <f>BB361+SUM($BD$12:BD361)</f>
        <v>#DIV/0!</v>
      </c>
      <c r="BF361" s="292" t="e">
        <f>-MIN(BE361:$BE$501)-SUM(BF$12:$BF360)</f>
        <v>#DIV/0!</v>
      </c>
      <c r="BG361" s="235" t="e">
        <f t="shared" si="277"/>
        <v>#DIV/0!</v>
      </c>
    </row>
    <row r="362" spans="2:59">
      <c r="B362" s="246">
        <v>349</v>
      </c>
      <c r="C362" s="241">
        <f t="shared" si="276"/>
        <v>53301</v>
      </c>
      <c r="D362" s="229">
        <f t="shared" si="278"/>
        <v>12</v>
      </c>
      <c r="E362" s="230" t="str">
        <f t="shared" si="279"/>
        <v>-</v>
      </c>
      <c r="F362" s="231">
        <f t="shared" si="280"/>
        <v>0</v>
      </c>
      <c r="G362" s="231">
        <f t="shared" si="281"/>
        <v>0</v>
      </c>
      <c r="H362" s="231">
        <f t="shared" si="282"/>
        <v>0</v>
      </c>
      <c r="I362" s="268">
        <f t="shared" si="267"/>
        <v>0</v>
      </c>
      <c r="J362" s="269">
        <f t="shared" si="283"/>
        <v>0</v>
      </c>
      <c r="K362" s="269">
        <f t="shared" si="284"/>
        <v>0</v>
      </c>
      <c r="L362" s="269">
        <f t="shared" si="268"/>
        <v>0</v>
      </c>
      <c r="M362" s="269">
        <f t="shared" si="269"/>
        <v>0</v>
      </c>
      <c r="N362" s="233">
        <f>VLOOKUP(B362,Dados!$L$86:$P$90,5)</f>
        <v>0</v>
      </c>
      <c r="O362" s="270">
        <f t="shared" si="285"/>
        <v>0.99999999999999989</v>
      </c>
      <c r="P362" s="269">
        <f t="shared" si="286"/>
        <v>0</v>
      </c>
      <c r="Q362" s="269" t="e">
        <f t="shared" si="287"/>
        <v>#DIV/0!</v>
      </c>
      <c r="R362" s="269">
        <f t="shared" si="288"/>
        <v>0</v>
      </c>
      <c r="S362" s="269" t="e">
        <f t="shared" si="289"/>
        <v>#DIV/0!</v>
      </c>
      <c r="T362" s="269" t="e">
        <f t="shared" si="275"/>
        <v>#DIV/0!</v>
      </c>
      <c r="U362" s="234">
        <f t="shared" si="290"/>
        <v>0</v>
      </c>
      <c r="V362" s="232" t="e">
        <f t="shared" si="291"/>
        <v>#DIV/0!</v>
      </c>
      <c r="W362" s="269" t="e">
        <f t="shared" si="292"/>
        <v>#DIV/0!</v>
      </c>
      <c r="X362" s="235">
        <f t="shared" si="270"/>
        <v>0</v>
      </c>
      <c r="Y362" s="236">
        <f t="shared" si="293"/>
        <v>5</v>
      </c>
      <c r="Z362" s="236" t="e">
        <f t="shared" si="294"/>
        <v>#DIV/0!</v>
      </c>
      <c r="AA362" s="236">
        <f t="shared" si="295"/>
        <v>3</v>
      </c>
      <c r="AB362" s="236" t="e">
        <f t="shared" si="296"/>
        <v>#DIV/0!</v>
      </c>
      <c r="AC362" s="235">
        <f t="shared" si="297"/>
        <v>0</v>
      </c>
      <c r="AD362" s="235">
        <f t="shared" si="298"/>
        <v>0</v>
      </c>
      <c r="AE362" s="279">
        <f t="shared" si="299"/>
        <v>0</v>
      </c>
      <c r="AF362" s="232">
        <f t="shared" si="300"/>
        <v>1</v>
      </c>
      <c r="AG362" s="235">
        <f t="shared" si="301"/>
        <v>0</v>
      </c>
      <c r="AH362" s="269">
        <f t="shared" si="302"/>
        <v>0</v>
      </c>
      <c r="AI362" s="232">
        <f t="shared" si="303"/>
        <v>1</v>
      </c>
      <c r="AJ362" s="235">
        <f t="shared" si="304"/>
        <v>0</v>
      </c>
      <c r="AK362" s="269">
        <f t="shared" si="305"/>
        <v>0</v>
      </c>
      <c r="AL362" s="269">
        <f t="shared" si="271"/>
        <v>0</v>
      </c>
      <c r="AM362" s="281" t="e">
        <f>IF(B362&gt;=mpfo,pos*vvm*Dados!$E$122*(ntudv-SUM(U$301:$U363))-SUM($AM$13:AM361),0)</f>
        <v>#DIV/0!</v>
      </c>
      <c r="AN362" s="269" t="e">
        <f t="shared" si="306"/>
        <v>#DIV/0!</v>
      </c>
      <c r="AO362" s="232" t="e">
        <f t="shared" si="307"/>
        <v>#DIV/0!</v>
      </c>
      <c r="AP362" s="242" t="e">
        <f t="shared" si="308"/>
        <v>#DIV/0!</v>
      </c>
      <c r="AQ362" s="235" t="e">
        <f>IF(AP362+SUM($AQ$12:AQ361)&gt;=0,0,-AP362-SUM($AQ$12:AQ361))</f>
        <v>#DIV/0!</v>
      </c>
      <c r="AR362" s="235">
        <f>IF(SUM($N$13:N361)&gt;=pmo,IF(SUM(N361:$N$501)&gt;(1-pmo),B362,0),0)</f>
        <v>0</v>
      </c>
      <c r="AS362" s="235" t="e">
        <f>IF((SUM($U$13:$U361)/ntudv)&gt;=pmv,IF((SUM($U361:$U$501)/ntudv)&gt;(1-pmv),B362,0),0)</f>
        <v>#DIV/0!</v>
      </c>
      <c r="AT362" s="237" t="e">
        <f>IF(MAX(mmo,mmv)=mmo,IF(B362=AR362,(SUM(N$13:$N361)-pmo)/((1-VLOOKUP(MAX(mmo,mmv)-1,$B$13:$O$501,14))+(VLOOKUP(MAX(mmo,mmv)-1,$B$13:$O$501,14)-pmo)),N361/((1-VLOOKUP(MAX(mmo,mmv)-1,$B$13:$O$501,14)+(VLOOKUP(MAX(mmo,mmv)-1,$B$13:$O$501,14)-pmo)))),N361/(1-VLOOKUP(MAX(mmo,mmv)-2,$B$13:$O$501,14)))</f>
        <v>#DIV/0!</v>
      </c>
      <c r="AU362" s="101" t="e">
        <f t="shared" si="272"/>
        <v>#DIV/0!</v>
      </c>
      <c r="AV362" s="287" t="e">
        <f t="shared" si="273"/>
        <v>#DIV/0!</v>
      </c>
      <c r="AW362" s="235" t="e">
        <f t="shared" si="309"/>
        <v>#DIV/0!</v>
      </c>
      <c r="AX362" s="281">
        <f>IF(B362&gt;mpfo,0,IF(B362=mpfo,(vld-teo*(1+tcfo-incc)^(MAX(mmo,mmv)-mbfo))*-1,IF(SUM($N$13:N361)&gt;=pmo,IF(($V361/ntudv)&gt;=pmv,IF(B362=MAX(mmo,mmv),-teo*(1+tcfo-incc)^(B362-mbfo),0),0),0)))</f>
        <v>0</v>
      </c>
      <c r="AY362" s="292" t="e">
        <f t="shared" si="274"/>
        <v>#DIV/0!</v>
      </c>
      <c r="AZ362" s="235" t="e">
        <f t="shared" si="310"/>
        <v>#DIV/0!</v>
      </c>
      <c r="BA362" s="269" t="e">
        <f t="shared" si="311"/>
        <v>#DIV/0!</v>
      </c>
      <c r="BB362" s="292" t="e">
        <f t="shared" si="312"/>
        <v>#DIV/0!</v>
      </c>
      <c r="BC362" s="238" t="e">
        <f>IF(SUM($BC$13:BC361)&gt;0,0,IF(BB362&gt;0,B362,0))</f>
        <v>#DIV/0!</v>
      </c>
      <c r="BD362" s="292" t="e">
        <f>IF(BB362+SUM($BD$12:BD361)&gt;=0,0,-BB362-SUM($BD$12:BD361))</f>
        <v>#DIV/0!</v>
      </c>
      <c r="BE362" s="235" t="e">
        <f>BB362+SUM($BD$12:BD362)</f>
        <v>#DIV/0!</v>
      </c>
      <c r="BF362" s="292" t="e">
        <f>-MIN(BE362:$BE$501)-SUM(BF$12:$BF361)</f>
        <v>#DIV/0!</v>
      </c>
      <c r="BG362" s="235" t="e">
        <f t="shared" si="277"/>
        <v>#DIV/0!</v>
      </c>
    </row>
    <row r="363" spans="2:59">
      <c r="B363" s="120">
        <v>350</v>
      </c>
      <c r="C363" s="241">
        <f t="shared" si="276"/>
        <v>53332</v>
      </c>
      <c r="D363" s="229">
        <f t="shared" si="278"/>
        <v>1</v>
      </c>
      <c r="E363" s="230" t="str">
        <f t="shared" si="279"/>
        <v>-</v>
      </c>
      <c r="F363" s="231">
        <f t="shared" si="280"/>
        <v>0</v>
      </c>
      <c r="G363" s="231">
        <f t="shared" si="281"/>
        <v>0</v>
      </c>
      <c r="H363" s="231">
        <f t="shared" si="282"/>
        <v>0</v>
      </c>
      <c r="I363" s="268">
        <f t="shared" si="267"/>
        <v>0</v>
      </c>
      <c r="J363" s="269">
        <f t="shared" si="283"/>
        <v>0</v>
      </c>
      <c r="K363" s="269">
        <f t="shared" si="284"/>
        <v>0</v>
      </c>
      <c r="L363" s="269">
        <f t="shared" si="268"/>
        <v>0</v>
      </c>
      <c r="M363" s="269">
        <f t="shared" si="269"/>
        <v>0</v>
      </c>
      <c r="N363" s="233">
        <f>VLOOKUP(B363,Dados!$L$86:$P$90,5)</f>
        <v>0</v>
      </c>
      <c r="O363" s="270">
        <f t="shared" si="285"/>
        <v>0.99999999999999989</v>
      </c>
      <c r="P363" s="269">
        <f t="shared" si="286"/>
        <v>0</v>
      </c>
      <c r="Q363" s="269" t="e">
        <f t="shared" si="287"/>
        <v>#DIV/0!</v>
      </c>
      <c r="R363" s="269">
        <f t="shared" si="288"/>
        <v>0</v>
      </c>
      <c r="S363" s="269" t="e">
        <f t="shared" si="289"/>
        <v>#DIV/0!</v>
      </c>
      <c r="T363" s="269" t="e">
        <f t="shared" si="275"/>
        <v>#DIV/0!</v>
      </c>
      <c r="U363" s="234">
        <f t="shared" si="290"/>
        <v>0</v>
      </c>
      <c r="V363" s="232" t="e">
        <f t="shared" si="291"/>
        <v>#DIV/0!</v>
      </c>
      <c r="W363" s="269" t="e">
        <f t="shared" si="292"/>
        <v>#DIV/0!</v>
      </c>
      <c r="X363" s="235">
        <f t="shared" si="270"/>
        <v>0</v>
      </c>
      <c r="Y363" s="236">
        <f t="shared" si="293"/>
        <v>5</v>
      </c>
      <c r="Z363" s="236" t="e">
        <f t="shared" si="294"/>
        <v>#DIV/0!</v>
      </c>
      <c r="AA363" s="236">
        <f t="shared" si="295"/>
        <v>3</v>
      </c>
      <c r="AB363" s="236" t="e">
        <f t="shared" si="296"/>
        <v>#DIV/0!</v>
      </c>
      <c r="AC363" s="235">
        <f t="shared" si="297"/>
        <v>0</v>
      </c>
      <c r="AD363" s="235">
        <f t="shared" si="298"/>
        <v>0</v>
      </c>
      <c r="AE363" s="279">
        <f t="shared" si="299"/>
        <v>0</v>
      </c>
      <c r="AF363" s="232">
        <f t="shared" si="300"/>
        <v>0</v>
      </c>
      <c r="AG363" s="235">
        <f t="shared" si="301"/>
        <v>0</v>
      </c>
      <c r="AH363" s="269">
        <f t="shared" si="302"/>
        <v>0</v>
      </c>
      <c r="AI363" s="232">
        <f t="shared" si="303"/>
        <v>0</v>
      </c>
      <c r="AJ363" s="235">
        <f t="shared" si="304"/>
        <v>0</v>
      </c>
      <c r="AK363" s="269">
        <f t="shared" si="305"/>
        <v>0</v>
      </c>
      <c r="AL363" s="269">
        <f t="shared" si="271"/>
        <v>0</v>
      </c>
      <c r="AM363" s="281" t="e">
        <f>IF(B363&gt;=mpfo,pos*vvm*Dados!$E$122*(ntudv-SUM(U$301:$U364))-SUM($AM$13:AM362),0)</f>
        <v>#DIV/0!</v>
      </c>
      <c r="AN363" s="269" t="e">
        <f t="shared" si="306"/>
        <v>#DIV/0!</v>
      </c>
      <c r="AO363" s="232" t="e">
        <f t="shared" si="307"/>
        <v>#DIV/0!</v>
      </c>
      <c r="AP363" s="242" t="e">
        <f t="shared" si="308"/>
        <v>#DIV/0!</v>
      </c>
      <c r="AQ363" s="235" t="e">
        <f>IF(AP363+SUM($AQ$12:AQ362)&gt;=0,0,-AP363-SUM($AQ$12:AQ362))</f>
        <v>#DIV/0!</v>
      </c>
      <c r="AR363" s="235">
        <f>IF(SUM($N$13:N362)&gt;=pmo,IF(SUM(N362:$N$501)&gt;(1-pmo),B363,0),0)</f>
        <v>0</v>
      </c>
      <c r="AS363" s="235" t="e">
        <f>IF((SUM($U$13:$U362)/ntudv)&gt;=pmv,IF((SUM($U362:$U$501)/ntudv)&gt;(1-pmv),B363,0),0)</f>
        <v>#DIV/0!</v>
      </c>
      <c r="AT363" s="237" t="e">
        <f>IF(MAX(mmo,mmv)=mmo,IF(B363=AR363,(SUM(N$13:$N362)-pmo)/((1-VLOOKUP(MAX(mmo,mmv)-1,$B$13:$O$501,14))+(VLOOKUP(MAX(mmo,mmv)-1,$B$13:$O$501,14)-pmo)),N362/((1-VLOOKUP(MAX(mmo,mmv)-1,$B$13:$O$501,14)+(VLOOKUP(MAX(mmo,mmv)-1,$B$13:$O$501,14)-pmo)))),N362/(1-VLOOKUP(MAX(mmo,mmv)-2,$B$13:$O$501,14)))</f>
        <v>#DIV/0!</v>
      </c>
      <c r="AU363" s="101" t="e">
        <f t="shared" si="272"/>
        <v>#DIV/0!</v>
      </c>
      <c r="AV363" s="287" t="e">
        <f t="shared" si="273"/>
        <v>#DIV/0!</v>
      </c>
      <c r="AW363" s="235" t="e">
        <f t="shared" si="309"/>
        <v>#DIV/0!</v>
      </c>
      <c r="AX363" s="281">
        <f>IF(B363&gt;mpfo,0,IF(B363=mpfo,(vld-teo*(1+tcfo-incc)^(MAX(mmo,mmv)-mbfo))*-1,IF(SUM($N$13:N362)&gt;=pmo,IF(($V362/ntudv)&gt;=pmv,IF(B363=MAX(mmo,mmv),-teo*(1+tcfo-incc)^(B363-mbfo),0),0),0)))</f>
        <v>0</v>
      </c>
      <c r="AY363" s="292" t="e">
        <f t="shared" si="274"/>
        <v>#DIV/0!</v>
      </c>
      <c r="AZ363" s="235" t="e">
        <f t="shared" si="310"/>
        <v>#DIV/0!</v>
      </c>
      <c r="BA363" s="269" t="e">
        <f t="shared" si="311"/>
        <v>#DIV/0!</v>
      </c>
      <c r="BB363" s="292" t="e">
        <f t="shared" si="312"/>
        <v>#DIV/0!</v>
      </c>
      <c r="BC363" s="238" t="e">
        <f>IF(SUM($BC$13:BC362)&gt;0,0,IF(BB363&gt;0,B363,0))</f>
        <v>#DIV/0!</v>
      </c>
      <c r="BD363" s="292" t="e">
        <f>IF(BB363+SUM($BD$12:BD362)&gt;=0,0,-BB363-SUM($BD$12:BD362))</f>
        <v>#DIV/0!</v>
      </c>
      <c r="BE363" s="235" t="e">
        <f>BB363+SUM($BD$12:BD363)</f>
        <v>#DIV/0!</v>
      </c>
      <c r="BF363" s="292" t="e">
        <f>-MIN(BE363:$BE$501)-SUM(BF$12:$BF362)</f>
        <v>#DIV/0!</v>
      </c>
      <c r="BG363" s="235" t="e">
        <f t="shared" si="277"/>
        <v>#DIV/0!</v>
      </c>
    </row>
    <row r="364" spans="2:59">
      <c r="B364" s="246">
        <v>351</v>
      </c>
      <c r="C364" s="241">
        <f t="shared" si="276"/>
        <v>53363</v>
      </c>
      <c r="D364" s="229">
        <f t="shared" si="278"/>
        <v>2</v>
      </c>
      <c r="E364" s="230" t="str">
        <f t="shared" si="279"/>
        <v>-</v>
      </c>
      <c r="F364" s="231">
        <f t="shared" si="280"/>
        <v>0</v>
      </c>
      <c r="G364" s="231">
        <f t="shared" si="281"/>
        <v>0</v>
      </c>
      <c r="H364" s="231">
        <f t="shared" si="282"/>
        <v>0</v>
      </c>
      <c r="I364" s="268">
        <f t="shared" si="267"/>
        <v>0</v>
      </c>
      <c r="J364" s="269">
        <f t="shared" si="283"/>
        <v>0</v>
      </c>
      <c r="K364" s="269">
        <f t="shared" si="284"/>
        <v>0</v>
      </c>
      <c r="L364" s="269">
        <f t="shared" si="268"/>
        <v>0</v>
      </c>
      <c r="M364" s="269">
        <f t="shared" si="269"/>
        <v>0</v>
      </c>
      <c r="N364" s="233">
        <f>VLOOKUP(B364,Dados!$L$86:$P$90,5)</f>
        <v>0</v>
      </c>
      <c r="O364" s="270">
        <f t="shared" si="285"/>
        <v>0.99999999999999989</v>
      </c>
      <c r="P364" s="269">
        <f t="shared" si="286"/>
        <v>0</v>
      </c>
      <c r="Q364" s="269" t="e">
        <f t="shared" si="287"/>
        <v>#DIV/0!</v>
      </c>
      <c r="R364" s="269">
        <f t="shared" si="288"/>
        <v>0</v>
      </c>
      <c r="S364" s="269" t="e">
        <f t="shared" si="289"/>
        <v>#DIV/0!</v>
      </c>
      <c r="T364" s="269" t="e">
        <f t="shared" si="275"/>
        <v>#DIV/0!</v>
      </c>
      <c r="U364" s="234">
        <f t="shared" si="290"/>
        <v>0</v>
      </c>
      <c r="V364" s="232" t="e">
        <f t="shared" si="291"/>
        <v>#DIV/0!</v>
      </c>
      <c r="W364" s="269" t="e">
        <f t="shared" si="292"/>
        <v>#DIV/0!</v>
      </c>
      <c r="X364" s="235">
        <f t="shared" si="270"/>
        <v>0</v>
      </c>
      <c r="Y364" s="236">
        <f t="shared" si="293"/>
        <v>5</v>
      </c>
      <c r="Z364" s="236" t="e">
        <f t="shared" si="294"/>
        <v>#DIV/0!</v>
      </c>
      <c r="AA364" s="236">
        <f t="shared" si="295"/>
        <v>3</v>
      </c>
      <c r="AB364" s="236" t="e">
        <f t="shared" si="296"/>
        <v>#DIV/0!</v>
      </c>
      <c r="AC364" s="235">
        <f t="shared" si="297"/>
        <v>0</v>
      </c>
      <c r="AD364" s="235">
        <f t="shared" si="298"/>
        <v>0</v>
      </c>
      <c r="AE364" s="279">
        <f t="shared" si="299"/>
        <v>0</v>
      </c>
      <c r="AF364" s="232">
        <f t="shared" si="300"/>
        <v>0</v>
      </c>
      <c r="AG364" s="235">
        <f t="shared" si="301"/>
        <v>0</v>
      </c>
      <c r="AH364" s="269">
        <f t="shared" si="302"/>
        <v>0</v>
      </c>
      <c r="AI364" s="232">
        <f t="shared" si="303"/>
        <v>0</v>
      </c>
      <c r="AJ364" s="235">
        <f t="shared" si="304"/>
        <v>0</v>
      </c>
      <c r="AK364" s="269">
        <f t="shared" si="305"/>
        <v>0</v>
      </c>
      <c r="AL364" s="269">
        <f t="shared" si="271"/>
        <v>0</v>
      </c>
      <c r="AM364" s="281" t="e">
        <f>IF(B364&gt;=mpfo,pos*vvm*Dados!$E$122*(ntudv-SUM(U$301:$U365))-SUM($AM$13:AM363),0)</f>
        <v>#DIV/0!</v>
      </c>
      <c r="AN364" s="269" t="e">
        <f t="shared" si="306"/>
        <v>#DIV/0!</v>
      </c>
      <c r="AO364" s="232" t="e">
        <f t="shared" si="307"/>
        <v>#DIV/0!</v>
      </c>
      <c r="AP364" s="242" t="e">
        <f t="shared" si="308"/>
        <v>#DIV/0!</v>
      </c>
      <c r="AQ364" s="235" t="e">
        <f>IF(AP364+SUM($AQ$12:AQ363)&gt;=0,0,-AP364-SUM($AQ$12:AQ363))</f>
        <v>#DIV/0!</v>
      </c>
      <c r="AR364" s="235">
        <f>IF(SUM($N$13:N363)&gt;=pmo,IF(SUM(N363:$N$501)&gt;(1-pmo),B364,0),0)</f>
        <v>0</v>
      </c>
      <c r="AS364" s="235" t="e">
        <f>IF((SUM($U$13:$U363)/ntudv)&gt;=pmv,IF((SUM($U363:$U$501)/ntudv)&gt;(1-pmv),B364,0),0)</f>
        <v>#DIV/0!</v>
      </c>
      <c r="AT364" s="237" t="e">
        <f>IF(MAX(mmo,mmv)=mmo,IF(B364=AR364,(SUM(N$13:$N363)-pmo)/((1-VLOOKUP(MAX(mmo,mmv)-1,$B$13:$O$501,14))+(VLOOKUP(MAX(mmo,mmv)-1,$B$13:$O$501,14)-pmo)),N363/((1-VLOOKUP(MAX(mmo,mmv)-1,$B$13:$O$501,14)+(VLOOKUP(MAX(mmo,mmv)-1,$B$13:$O$501,14)-pmo)))),N363/(1-VLOOKUP(MAX(mmo,mmv)-2,$B$13:$O$501,14)))</f>
        <v>#DIV/0!</v>
      </c>
      <c r="AU364" s="101" t="e">
        <f t="shared" si="272"/>
        <v>#DIV/0!</v>
      </c>
      <c r="AV364" s="287" t="e">
        <f t="shared" si="273"/>
        <v>#DIV/0!</v>
      </c>
      <c r="AW364" s="235" t="e">
        <f t="shared" si="309"/>
        <v>#DIV/0!</v>
      </c>
      <c r="AX364" s="281">
        <f>IF(B364&gt;mpfo,0,IF(B364=mpfo,(vld-teo*(1+tcfo-incc)^(MAX(mmo,mmv)-mbfo))*-1,IF(SUM($N$13:N363)&gt;=pmo,IF(($V363/ntudv)&gt;=pmv,IF(B364=MAX(mmo,mmv),-teo*(1+tcfo-incc)^(B364-mbfo),0),0),0)))</f>
        <v>0</v>
      </c>
      <c r="AY364" s="292" t="e">
        <f t="shared" si="274"/>
        <v>#DIV/0!</v>
      </c>
      <c r="AZ364" s="235" t="e">
        <f t="shared" si="310"/>
        <v>#DIV/0!</v>
      </c>
      <c r="BA364" s="269" t="e">
        <f t="shared" si="311"/>
        <v>#DIV/0!</v>
      </c>
      <c r="BB364" s="292" t="e">
        <f t="shared" si="312"/>
        <v>#DIV/0!</v>
      </c>
      <c r="BC364" s="238" t="e">
        <f>IF(SUM($BC$13:BC363)&gt;0,0,IF(BB364&gt;0,B364,0))</f>
        <v>#DIV/0!</v>
      </c>
      <c r="BD364" s="292" t="e">
        <f>IF(BB364+SUM($BD$12:BD363)&gt;=0,0,-BB364-SUM($BD$12:BD363))</f>
        <v>#DIV/0!</v>
      </c>
      <c r="BE364" s="235" t="e">
        <f>BB364+SUM($BD$12:BD364)</f>
        <v>#DIV/0!</v>
      </c>
      <c r="BF364" s="292" t="e">
        <f>-MIN(BE364:$BE$501)-SUM(BF$12:$BF363)</f>
        <v>#DIV/0!</v>
      </c>
      <c r="BG364" s="235" t="e">
        <f t="shared" si="277"/>
        <v>#DIV/0!</v>
      </c>
    </row>
    <row r="365" spans="2:59">
      <c r="B365" s="120">
        <v>352</v>
      </c>
      <c r="C365" s="241">
        <f t="shared" si="276"/>
        <v>53391</v>
      </c>
      <c r="D365" s="229">
        <f t="shared" si="278"/>
        <v>3</v>
      </c>
      <c r="E365" s="230" t="str">
        <f t="shared" si="279"/>
        <v>-</v>
      </c>
      <c r="F365" s="231">
        <f t="shared" si="280"/>
        <v>0</v>
      </c>
      <c r="G365" s="231">
        <f t="shared" si="281"/>
        <v>0</v>
      </c>
      <c r="H365" s="231">
        <f t="shared" si="282"/>
        <v>0</v>
      </c>
      <c r="I365" s="268">
        <f t="shared" si="267"/>
        <v>0</v>
      </c>
      <c r="J365" s="269">
        <f t="shared" si="283"/>
        <v>0</v>
      </c>
      <c r="K365" s="269">
        <f t="shared" si="284"/>
        <v>0</v>
      </c>
      <c r="L365" s="269">
        <f t="shared" si="268"/>
        <v>0</v>
      </c>
      <c r="M365" s="269">
        <f t="shared" si="269"/>
        <v>0</v>
      </c>
      <c r="N365" s="233">
        <f>VLOOKUP(B365,Dados!$L$86:$P$90,5)</f>
        <v>0</v>
      </c>
      <c r="O365" s="270">
        <f t="shared" si="285"/>
        <v>0.99999999999999989</v>
      </c>
      <c r="P365" s="269">
        <f t="shared" si="286"/>
        <v>0</v>
      </c>
      <c r="Q365" s="269" t="e">
        <f t="shared" si="287"/>
        <v>#DIV/0!</v>
      </c>
      <c r="R365" s="269">
        <f t="shared" si="288"/>
        <v>0</v>
      </c>
      <c r="S365" s="269" t="e">
        <f t="shared" si="289"/>
        <v>#DIV/0!</v>
      </c>
      <c r="T365" s="269" t="e">
        <f t="shared" si="275"/>
        <v>#DIV/0!</v>
      </c>
      <c r="U365" s="234">
        <f t="shared" si="290"/>
        <v>0</v>
      </c>
      <c r="V365" s="232" t="e">
        <f t="shared" si="291"/>
        <v>#DIV/0!</v>
      </c>
      <c r="W365" s="269" t="e">
        <f t="shared" si="292"/>
        <v>#DIV/0!</v>
      </c>
      <c r="X365" s="235">
        <f t="shared" si="270"/>
        <v>0</v>
      </c>
      <c r="Y365" s="236">
        <f t="shared" si="293"/>
        <v>5</v>
      </c>
      <c r="Z365" s="236" t="e">
        <f t="shared" si="294"/>
        <v>#DIV/0!</v>
      </c>
      <c r="AA365" s="236">
        <f t="shared" si="295"/>
        <v>3</v>
      </c>
      <c r="AB365" s="236" t="e">
        <f t="shared" si="296"/>
        <v>#DIV/0!</v>
      </c>
      <c r="AC365" s="235">
        <f t="shared" si="297"/>
        <v>0</v>
      </c>
      <c r="AD365" s="235">
        <f t="shared" si="298"/>
        <v>0</v>
      </c>
      <c r="AE365" s="279">
        <f t="shared" si="299"/>
        <v>0</v>
      </c>
      <c r="AF365" s="232">
        <f t="shared" si="300"/>
        <v>0</v>
      </c>
      <c r="AG365" s="235">
        <f t="shared" si="301"/>
        <v>0</v>
      </c>
      <c r="AH365" s="269">
        <f t="shared" si="302"/>
        <v>0</v>
      </c>
      <c r="AI365" s="232">
        <f t="shared" si="303"/>
        <v>0</v>
      </c>
      <c r="AJ365" s="235">
        <f t="shared" si="304"/>
        <v>0</v>
      </c>
      <c r="AK365" s="269">
        <f t="shared" si="305"/>
        <v>0</v>
      </c>
      <c r="AL365" s="269">
        <f t="shared" si="271"/>
        <v>0</v>
      </c>
      <c r="AM365" s="281" t="e">
        <f>IF(B365&gt;=mpfo,pos*vvm*Dados!$E$122*(ntudv-SUM(U$301:$U366))-SUM($AM$13:AM364),0)</f>
        <v>#DIV/0!</v>
      </c>
      <c r="AN365" s="269" t="e">
        <f t="shared" si="306"/>
        <v>#DIV/0!</v>
      </c>
      <c r="AO365" s="232" t="e">
        <f t="shared" si="307"/>
        <v>#DIV/0!</v>
      </c>
      <c r="AP365" s="242" t="e">
        <f t="shared" si="308"/>
        <v>#DIV/0!</v>
      </c>
      <c r="AQ365" s="235" t="e">
        <f>IF(AP365+SUM($AQ$12:AQ364)&gt;=0,0,-AP365-SUM($AQ$12:AQ364))</f>
        <v>#DIV/0!</v>
      </c>
      <c r="AR365" s="235">
        <f>IF(SUM($N$13:N364)&gt;=pmo,IF(SUM(N364:$N$501)&gt;(1-pmo),B365,0),0)</f>
        <v>0</v>
      </c>
      <c r="AS365" s="235" t="e">
        <f>IF((SUM($U$13:$U364)/ntudv)&gt;=pmv,IF((SUM($U364:$U$501)/ntudv)&gt;(1-pmv),B365,0),0)</f>
        <v>#DIV/0!</v>
      </c>
      <c r="AT365" s="237" t="e">
        <f>IF(MAX(mmo,mmv)=mmo,IF(B365=AR365,(SUM(N$13:$N364)-pmo)/((1-VLOOKUP(MAX(mmo,mmv)-1,$B$13:$O$501,14))+(VLOOKUP(MAX(mmo,mmv)-1,$B$13:$O$501,14)-pmo)),N364/((1-VLOOKUP(MAX(mmo,mmv)-1,$B$13:$O$501,14)+(VLOOKUP(MAX(mmo,mmv)-1,$B$13:$O$501,14)-pmo)))),N364/(1-VLOOKUP(MAX(mmo,mmv)-2,$B$13:$O$501,14)))</f>
        <v>#DIV/0!</v>
      </c>
      <c r="AU365" s="101" t="e">
        <f t="shared" si="272"/>
        <v>#DIV/0!</v>
      </c>
      <c r="AV365" s="287" t="e">
        <f t="shared" si="273"/>
        <v>#DIV/0!</v>
      </c>
      <c r="AW365" s="235" t="e">
        <f t="shared" si="309"/>
        <v>#DIV/0!</v>
      </c>
      <c r="AX365" s="281">
        <f>IF(B365&gt;mpfo,0,IF(B365=mpfo,(vld-teo*(1+tcfo-incc)^(MAX(mmo,mmv)-mbfo))*-1,IF(SUM($N$13:N364)&gt;=pmo,IF(($V364/ntudv)&gt;=pmv,IF(B365=MAX(mmo,mmv),-teo*(1+tcfo-incc)^(B365-mbfo),0),0),0)))</f>
        <v>0</v>
      </c>
      <c r="AY365" s="292" t="e">
        <f t="shared" si="274"/>
        <v>#DIV/0!</v>
      </c>
      <c r="AZ365" s="235" t="e">
        <f t="shared" si="310"/>
        <v>#DIV/0!</v>
      </c>
      <c r="BA365" s="269" t="e">
        <f t="shared" si="311"/>
        <v>#DIV/0!</v>
      </c>
      <c r="BB365" s="292" t="e">
        <f t="shared" si="312"/>
        <v>#DIV/0!</v>
      </c>
      <c r="BC365" s="238" t="e">
        <f>IF(SUM($BC$13:BC364)&gt;0,0,IF(BB365&gt;0,B365,0))</f>
        <v>#DIV/0!</v>
      </c>
      <c r="BD365" s="292" t="e">
        <f>IF(BB365+SUM($BD$12:BD364)&gt;=0,0,-BB365-SUM($BD$12:BD364))</f>
        <v>#DIV/0!</v>
      </c>
      <c r="BE365" s="235" t="e">
        <f>BB365+SUM($BD$12:BD365)</f>
        <v>#DIV/0!</v>
      </c>
      <c r="BF365" s="292" t="e">
        <f>-MIN(BE365:$BE$501)-SUM(BF$12:$BF364)</f>
        <v>#DIV/0!</v>
      </c>
      <c r="BG365" s="235" t="e">
        <f t="shared" si="277"/>
        <v>#DIV/0!</v>
      </c>
    </row>
    <row r="366" spans="2:59">
      <c r="B366" s="246">
        <v>353</v>
      </c>
      <c r="C366" s="241">
        <f t="shared" si="276"/>
        <v>53422</v>
      </c>
      <c r="D366" s="229">
        <f t="shared" si="278"/>
        <v>4</v>
      </c>
      <c r="E366" s="230" t="str">
        <f t="shared" si="279"/>
        <v>-</v>
      </c>
      <c r="F366" s="231">
        <f t="shared" si="280"/>
        <v>0</v>
      </c>
      <c r="G366" s="231">
        <f t="shared" si="281"/>
        <v>0</v>
      </c>
      <c r="H366" s="231">
        <f t="shared" si="282"/>
        <v>0</v>
      </c>
      <c r="I366" s="268">
        <f t="shared" si="267"/>
        <v>0</v>
      </c>
      <c r="J366" s="269">
        <f t="shared" si="283"/>
        <v>0</v>
      </c>
      <c r="K366" s="269">
        <f t="shared" si="284"/>
        <v>0</v>
      </c>
      <c r="L366" s="269">
        <f t="shared" si="268"/>
        <v>0</v>
      </c>
      <c r="M366" s="269">
        <f t="shared" si="269"/>
        <v>0</v>
      </c>
      <c r="N366" s="233">
        <f>VLOOKUP(B366,Dados!$L$86:$P$90,5)</f>
        <v>0</v>
      </c>
      <c r="O366" s="270">
        <f t="shared" si="285"/>
        <v>0.99999999999999989</v>
      </c>
      <c r="P366" s="269">
        <f t="shared" si="286"/>
        <v>0</v>
      </c>
      <c r="Q366" s="269" t="e">
        <f t="shared" si="287"/>
        <v>#DIV/0!</v>
      </c>
      <c r="R366" s="269">
        <f t="shared" si="288"/>
        <v>0</v>
      </c>
      <c r="S366" s="269" t="e">
        <f t="shared" si="289"/>
        <v>#DIV/0!</v>
      </c>
      <c r="T366" s="269" t="e">
        <f t="shared" si="275"/>
        <v>#DIV/0!</v>
      </c>
      <c r="U366" s="234">
        <f t="shared" si="290"/>
        <v>0</v>
      </c>
      <c r="V366" s="232" t="e">
        <f t="shared" si="291"/>
        <v>#DIV/0!</v>
      </c>
      <c r="W366" s="269" t="e">
        <f t="shared" si="292"/>
        <v>#DIV/0!</v>
      </c>
      <c r="X366" s="235">
        <f t="shared" si="270"/>
        <v>0</v>
      </c>
      <c r="Y366" s="236">
        <f t="shared" si="293"/>
        <v>5</v>
      </c>
      <c r="Z366" s="236" t="e">
        <f t="shared" si="294"/>
        <v>#DIV/0!</v>
      </c>
      <c r="AA366" s="236">
        <f t="shared" si="295"/>
        <v>3</v>
      </c>
      <c r="AB366" s="236" t="e">
        <f t="shared" si="296"/>
        <v>#DIV/0!</v>
      </c>
      <c r="AC366" s="235">
        <f t="shared" si="297"/>
        <v>0</v>
      </c>
      <c r="AD366" s="235">
        <f t="shared" si="298"/>
        <v>0</v>
      </c>
      <c r="AE366" s="279">
        <f t="shared" si="299"/>
        <v>0</v>
      </c>
      <c r="AF366" s="232">
        <f t="shared" si="300"/>
        <v>0</v>
      </c>
      <c r="AG366" s="235">
        <f t="shared" si="301"/>
        <v>0</v>
      </c>
      <c r="AH366" s="269">
        <f t="shared" si="302"/>
        <v>0</v>
      </c>
      <c r="AI366" s="232">
        <f t="shared" si="303"/>
        <v>0</v>
      </c>
      <c r="AJ366" s="235">
        <f t="shared" si="304"/>
        <v>0</v>
      </c>
      <c r="AK366" s="269">
        <f t="shared" si="305"/>
        <v>0</v>
      </c>
      <c r="AL366" s="269">
        <f t="shared" si="271"/>
        <v>0</v>
      </c>
      <c r="AM366" s="281" t="e">
        <f>IF(B366&gt;=mpfo,pos*vvm*Dados!$E$122*(ntudv-SUM(U$301:$U367))-SUM($AM$13:AM365),0)</f>
        <v>#DIV/0!</v>
      </c>
      <c r="AN366" s="269" t="e">
        <f t="shared" si="306"/>
        <v>#DIV/0!</v>
      </c>
      <c r="AO366" s="232" t="e">
        <f t="shared" si="307"/>
        <v>#DIV/0!</v>
      </c>
      <c r="AP366" s="242" t="e">
        <f t="shared" si="308"/>
        <v>#DIV/0!</v>
      </c>
      <c r="AQ366" s="235" t="e">
        <f>IF(AP366+SUM($AQ$12:AQ365)&gt;=0,0,-AP366-SUM($AQ$12:AQ365))</f>
        <v>#DIV/0!</v>
      </c>
      <c r="AR366" s="235">
        <f>IF(SUM($N$13:N365)&gt;=pmo,IF(SUM(N365:$N$501)&gt;(1-pmo),B366,0),0)</f>
        <v>0</v>
      </c>
      <c r="AS366" s="235" t="e">
        <f>IF((SUM($U$13:$U365)/ntudv)&gt;=pmv,IF((SUM($U365:$U$501)/ntudv)&gt;(1-pmv),B366,0),0)</f>
        <v>#DIV/0!</v>
      </c>
      <c r="AT366" s="237" t="e">
        <f>IF(MAX(mmo,mmv)=mmo,IF(B366=AR366,(SUM(N$13:$N365)-pmo)/((1-VLOOKUP(MAX(mmo,mmv)-1,$B$13:$O$501,14))+(VLOOKUP(MAX(mmo,mmv)-1,$B$13:$O$501,14)-pmo)),N365/((1-VLOOKUP(MAX(mmo,mmv)-1,$B$13:$O$501,14)+(VLOOKUP(MAX(mmo,mmv)-1,$B$13:$O$501,14)-pmo)))),N365/(1-VLOOKUP(MAX(mmo,mmv)-2,$B$13:$O$501,14)))</f>
        <v>#DIV/0!</v>
      </c>
      <c r="AU366" s="101" t="e">
        <f t="shared" si="272"/>
        <v>#DIV/0!</v>
      </c>
      <c r="AV366" s="287" t="e">
        <f t="shared" si="273"/>
        <v>#DIV/0!</v>
      </c>
      <c r="AW366" s="235" t="e">
        <f t="shared" si="309"/>
        <v>#DIV/0!</v>
      </c>
      <c r="AX366" s="281">
        <f>IF(B366&gt;mpfo,0,IF(B366=mpfo,(vld-teo*(1+tcfo-incc)^(MAX(mmo,mmv)-mbfo))*-1,IF(SUM($N$13:N365)&gt;=pmo,IF(($V365/ntudv)&gt;=pmv,IF(B366=MAX(mmo,mmv),-teo*(1+tcfo-incc)^(B366-mbfo),0),0),0)))</f>
        <v>0</v>
      </c>
      <c r="AY366" s="292" t="e">
        <f t="shared" si="274"/>
        <v>#DIV/0!</v>
      </c>
      <c r="AZ366" s="235" t="e">
        <f t="shared" si="310"/>
        <v>#DIV/0!</v>
      </c>
      <c r="BA366" s="269" t="e">
        <f t="shared" si="311"/>
        <v>#DIV/0!</v>
      </c>
      <c r="BB366" s="292" t="e">
        <f t="shared" si="312"/>
        <v>#DIV/0!</v>
      </c>
      <c r="BC366" s="238" t="e">
        <f>IF(SUM($BC$13:BC365)&gt;0,0,IF(BB366&gt;0,B366,0))</f>
        <v>#DIV/0!</v>
      </c>
      <c r="BD366" s="292" t="e">
        <f>IF(BB366+SUM($BD$12:BD365)&gt;=0,0,-BB366-SUM($BD$12:BD365))</f>
        <v>#DIV/0!</v>
      </c>
      <c r="BE366" s="235" t="e">
        <f>BB366+SUM($BD$12:BD366)</f>
        <v>#DIV/0!</v>
      </c>
      <c r="BF366" s="292" t="e">
        <f>-MIN(BE366:$BE$501)-SUM(BF$12:$BF365)</f>
        <v>#DIV/0!</v>
      </c>
      <c r="BG366" s="235" t="e">
        <f t="shared" si="277"/>
        <v>#DIV/0!</v>
      </c>
    </row>
    <row r="367" spans="2:59">
      <c r="B367" s="120">
        <v>354</v>
      </c>
      <c r="C367" s="241">
        <f t="shared" si="276"/>
        <v>53452</v>
      </c>
      <c r="D367" s="229">
        <f t="shared" si="278"/>
        <v>5</v>
      </c>
      <c r="E367" s="230" t="str">
        <f t="shared" si="279"/>
        <v>-</v>
      </c>
      <c r="F367" s="231">
        <f t="shared" si="280"/>
        <v>0</v>
      </c>
      <c r="G367" s="231">
        <f t="shared" si="281"/>
        <v>0</v>
      </c>
      <c r="H367" s="231">
        <f t="shared" si="282"/>
        <v>0</v>
      </c>
      <c r="I367" s="268">
        <f t="shared" si="267"/>
        <v>0</v>
      </c>
      <c r="J367" s="269">
        <f t="shared" si="283"/>
        <v>0</v>
      </c>
      <c r="K367" s="269">
        <f t="shared" si="284"/>
        <v>0</v>
      </c>
      <c r="L367" s="269">
        <f t="shared" si="268"/>
        <v>0</v>
      </c>
      <c r="M367" s="269">
        <f t="shared" si="269"/>
        <v>0</v>
      </c>
      <c r="N367" s="233">
        <f>VLOOKUP(B367,Dados!$L$86:$P$90,5)</f>
        <v>0</v>
      </c>
      <c r="O367" s="270">
        <f t="shared" si="285"/>
        <v>0.99999999999999989</v>
      </c>
      <c r="P367" s="269">
        <f t="shared" si="286"/>
        <v>0</v>
      </c>
      <c r="Q367" s="269" t="e">
        <f t="shared" si="287"/>
        <v>#DIV/0!</v>
      </c>
      <c r="R367" s="269">
        <f t="shared" si="288"/>
        <v>0</v>
      </c>
      <c r="S367" s="269" t="e">
        <f t="shared" si="289"/>
        <v>#DIV/0!</v>
      </c>
      <c r="T367" s="269" t="e">
        <f t="shared" si="275"/>
        <v>#DIV/0!</v>
      </c>
      <c r="U367" s="234">
        <f t="shared" si="290"/>
        <v>0</v>
      </c>
      <c r="V367" s="232" t="e">
        <f t="shared" si="291"/>
        <v>#DIV/0!</v>
      </c>
      <c r="W367" s="269" t="e">
        <f t="shared" si="292"/>
        <v>#DIV/0!</v>
      </c>
      <c r="X367" s="235">
        <f t="shared" si="270"/>
        <v>0</v>
      </c>
      <c r="Y367" s="236">
        <f t="shared" si="293"/>
        <v>5</v>
      </c>
      <c r="Z367" s="236" t="e">
        <f t="shared" si="294"/>
        <v>#DIV/0!</v>
      </c>
      <c r="AA367" s="236">
        <f t="shared" si="295"/>
        <v>3</v>
      </c>
      <c r="AB367" s="236" t="e">
        <f t="shared" si="296"/>
        <v>#DIV/0!</v>
      </c>
      <c r="AC367" s="235">
        <f t="shared" si="297"/>
        <v>0</v>
      </c>
      <c r="AD367" s="235">
        <f t="shared" si="298"/>
        <v>0</v>
      </c>
      <c r="AE367" s="279">
        <f t="shared" si="299"/>
        <v>0</v>
      </c>
      <c r="AF367" s="232">
        <f t="shared" si="300"/>
        <v>0</v>
      </c>
      <c r="AG367" s="235">
        <f t="shared" si="301"/>
        <v>0</v>
      </c>
      <c r="AH367" s="269">
        <f t="shared" si="302"/>
        <v>0</v>
      </c>
      <c r="AI367" s="232">
        <f t="shared" si="303"/>
        <v>0</v>
      </c>
      <c r="AJ367" s="235">
        <f t="shared" si="304"/>
        <v>0</v>
      </c>
      <c r="AK367" s="269">
        <f t="shared" si="305"/>
        <v>0</v>
      </c>
      <c r="AL367" s="269">
        <f t="shared" si="271"/>
        <v>0</v>
      </c>
      <c r="AM367" s="281" t="e">
        <f>IF(B367&gt;=mpfo,pos*vvm*Dados!$E$122*(ntudv-SUM(U$301:$U368))-SUM($AM$13:AM366),0)</f>
        <v>#DIV/0!</v>
      </c>
      <c r="AN367" s="269" t="e">
        <f t="shared" si="306"/>
        <v>#DIV/0!</v>
      </c>
      <c r="AO367" s="232" t="e">
        <f t="shared" si="307"/>
        <v>#DIV/0!</v>
      </c>
      <c r="AP367" s="242" t="e">
        <f t="shared" si="308"/>
        <v>#DIV/0!</v>
      </c>
      <c r="AQ367" s="235" t="e">
        <f>IF(AP367+SUM($AQ$12:AQ366)&gt;=0,0,-AP367-SUM($AQ$12:AQ366))</f>
        <v>#DIV/0!</v>
      </c>
      <c r="AR367" s="235">
        <f>IF(SUM($N$13:N366)&gt;=pmo,IF(SUM(N366:$N$501)&gt;(1-pmo),B367,0),0)</f>
        <v>0</v>
      </c>
      <c r="AS367" s="235" t="e">
        <f>IF((SUM($U$13:$U366)/ntudv)&gt;=pmv,IF((SUM($U366:$U$501)/ntudv)&gt;(1-pmv),B367,0),0)</f>
        <v>#DIV/0!</v>
      </c>
      <c r="AT367" s="237" t="e">
        <f>IF(MAX(mmo,mmv)=mmo,IF(B367=AR367,(SUM(N$13:$N366)-pmo)/((1-VLOOKUP(MAX(mmo,mmv)-1,$B$13:$O$501,14))+(VLOOKUP(MAX(mmo,mmv)-1,$B$13:$O$501,14)-pmo)),N366/((1-VLOOKUP(MAX(mmo,mmv)-1,$B$13:$O$501,14)+(VLOOKUP(MAX(mmo,mmv)-1,$B$13:$O$501,14)-pmo)))),N366/(1-VLOOKUP(MAX(mmo,mmv)-2,$B$13:$O$501,14)))</f>
        <v>#DIV/0!</v>
      </c>
      <c r="AU367" s="101" t="e">
        <f t="shared" si="272"/>
        <v>#DIV/0!</v>
      </c>
      <c r="AV367" s="287" t="e">
        <f t="shared" si="273"/>
        <v>#DIV/0!</v>
      </c>
      <c r="AW367" s="235" t="e">
        <f t="shared" si="309"/>
        <v>#DIV/0!</v>
      </c>
      <c r="AX367" s="281">
        <f>IF(B367&gt;mpfo,0,IF(B367=mpfo,(vld-teo*(1+tcfo-incc)^(MAX(mmo,mmv)-mbfo))*-1,IF(SUM($N$13:N366)&gt;=pmo,IF(($V366/ntudv)&gt;=pmv,IF(B367=MAX(mmo,mmv),-teo*(1+tcfo-incc)^(B367-mbfo),0),0),0)))</f>
        <v>0</v>
      </c>
      <c r="AY367" s="292" t="e">
        <f t="shared" si="274"/>
        <v>#DIV/0!</v>
      </c>
      <c r="AZ367" s="235" t="e">
        <f t="shared" si="310"/>
        <v>#DIV/0!</v>
      </c>
      <c r="BA367" s="269" t="e">
        <f t="shared" si="311"/>
        <v>#DIV/0!</v>
      </c>
      <c r="BB367" s="292" t="e">
        <f t="shared" si="312"/>
        <v>#DIV/0!</v>
      </c>
      <c r="BC367" s="238" t="e">
        <f>IF(SUM($BC$13:BC366)&gt;0,0,IF(BB367&gt;0,B367,0))</f>
        <v>#DIV/0!</v>
      </c>
      <c r="BD367" s="292" t="e">
        <f>IF(BB367+SUM($BD$12:BD366)&gt;=0,0,-BB367-SUM($BD$12:BD366))</f>
        <v>#DIV/0!</v>
      </c>
      <c r="BE367" s="235" t="e">
        <f>BB367+SUM($BD$12:BD367)</f>
        <v>#DIV/0!</v>
      </c>
      <c r="BF367" s="292" t="e">
        <f>-MIN(BE367:$BE$501)-SUM(BF$12:$BF366)</f>
        <v>#DIV/0!</v>
      </c>
      <c r="BG367" s="235" t="e">
        <f t="shared" si="277"/>
        <v>#DIV/0!</v>
      </c>
    </row>
    <row r="368" spans="2:59">
      <c r="B368" s="246">
        <v>355</v>
      </c>
      <c r="C368" s="241">
        <f t="shared" si="276"/>
        <v>53483</v>
      </c>
      <c r="D368" s="229">
        <f t="shared" si="278"/>
        <v>6</v>
      </c>
      <c r="E368" s="230" t="str">
        <f t="shared" si="279"/>
        <v>-</v>
      </c>
      <c r="F368" s="231">
        <f t="shared" si="280"/>
        <v>0</v>
      </c>
      <c r="G368" s="231">
        <f t="shared" si="281"/>
        <v>0</v>
      </c>
      <c r="H368" s="231">
        <f t="shared" si="282"/>
        <v>0</v>
      </c>
      <c r="I368" s="268">
        <f t="shared" si="267"/>
        <v>0</v>
      </c>
      <c r="J368" s="269">
        <f t="shared" si="283"/>
        <v>0</v>
      </c>
      <c r="K368" s="269">
        <f t="shared" si="284"/>
        <v>0</v>
      </c>
      <c r="L368" s="269">
        <f t="shared" si="268"/>
        <v>0</v>
      </c>
      <c r="M368" s="269">
        <f t="shared" si="269"/>
        <v>0</v>
      </c>
      <c r="N368" s="233">
        <f>VLOOKUP(B368,Dados!$L$86:$P$90,5)</f>
        <v>0</v>
      </c>
      <c r="O368" s="270">
        <f t="shared" si="285"/>
        <v>0.99999999999999989</v>
      </c>
      <c r="P368" s="269">
        <f t="shared" si="286"/>
        <v>0</v>
      </c>
      <c r="Q368" s="269" t="e">
        <f t="shared" si="287"/>
        <v>#DIV/0!</v>
      </c>
      <c r="R368" s="269">
        <f t="shared" si="288"/>
        <v>0</v>
      </c>
      <c r="S368" s="269" t="e">
        <f t="shared" si="289"/>
        <v>#DIV/0!</v>
      </c>
      <c r="T368" s="269" t="e">
        <f t="shared" si="275"/>
        <v>#DIV/0!</v>
      </c>
      <c r="U368" s="234">
        <f t="shared" si="290"/>
        <v>0</v>
      </c>
      <c r="V368" s="232" t="e">
        <f t="shared" si="291"/>
        <v>#DIV/0!</v>
      </c>
      <c r="W368" s="269" t="e">
        <f t="shared" si="292"/>
        <v>#DIV/0!</v>
      </c>
      <c r="X368" s="235">
        <f t="shared" si="270"/>
        <v>0</v>
      </c>
      <c r="Y368" s="236">
        <f t="shared" si="293"/>
        <v>5</v>
      </c>
      <c r="Z368" s="236" t="e">
        <f t="shared" si="294"/>
        <v>#DIV/0!</v>
      </c>
      <c r="AA368" s="236">
        <f t="shared" si="295"/>
        <v>3</v>
      </c>
      <c r="AB368" s="236" t="e">
        <f t="shared" si="296"/>
        <v>#DIV/0!</v>
      </c>
      <c r="AC368" s="235">
        <f t="shared" si="297"/>
        <v>0</v>
      </c>
      <c r="AD368" s="235">
        <f t="shared" si="298"/>
        <v>0</v>
      </c>
      <c r="AE368" s="279">
        <f t="shared" si="299"/>
        <v>0</v>
      </c>
      <c r="AF368" s="232">
        <f t="shared" si="300"/>
        <v>1</v>
      </c>
      <c r="AG368" s="235">
        <f t="shared" si="301"/>
        <v>0</v>
      </c>
      <c r="AH368" s="269">
        <f t="shared" si="302"/>
        <v>0</v>
      </c>
      <c r="AI368" s="232">
        <f t="shared" si="303"/>
        <v>0</v>
      </c>
      <c r="AJ368" s="235">
        <f t="shared" si="304"/>
        <v>0</v>
      </c>
      <c r="AK368" s="269">
        <f t="shared" si="305"/>
        <v>0</v>
      </c>
      <c r="AL368" s="269">
        <f t="shared" si="271"/>
        <v>0</v>
      </c>
      <c r="AM368" s="281" t="e">
        <f>IF(B368&gt;=mpfo,pos*vvm*Dados!$E$122*(ntudv-SUM(U$301:$U369))-SUM($AM$13:AM367),0)</f>
        <v>#DIV/0!</v>
      </c>
      <c r="AN368" s="269" t="e">
        <f t="shared" si="306"/>
        <v>#DIV/0!</v>
      </c>
      <c r="AO368" s="232" t="e">
        <f t="shared" si="307"/>
        <v>#DIV/0!</v>
      </c>
      <c r="AP368" s="242" t="e">
        <f t="shared" si="308"/>
        <v>#DIV/0!</v>
      </c>
      <c r="AQ368" s="235" t="e">
        <f>IF(AP368+SUM($AQ$12:AQ367)&gt;=0,0,-AP368-SUM($AQ$12:AQ367))</f>
        <v>#DIV/0!</v>
      </c>
      <c r="AR368" s="235">
        <f>IF(SUM($N$13:N367)&gt;=pmo,IF(SUM(N367:$N$501)&gt;(1-pmo),B368,0),0)</f>
        <v>0</v>
      </c>
      <c r="AS368" s="235" t="e">
        <f>IF((SUM($U$13:$U367)/ntudv)&gt;=pmv,IF((SUM($U367:$U$501)/ntudv)&gt;(1-pmv),B368,0),0)</f>
        <v>#DIV/0!</v>
      </c>
      <c r="AT368" s="237" t="e">
        <f>IF(MAX(mmo,mmv)=mmo,IF(B368=AR368,(SUM(N$13:$N367)-pmo)/((1-VLOOKUP(MAX(mmo,mmv)-1,$B$13:$O$501,14))+(VLOOKUP(MAX(mmo,mmv)-1,$B$13:$O$501,14)-pmo)),N367/((1-VLOOKUP(MAX(mmo,mmv)-1,$B$13:$O$501,14)+(VLOOKUP(MAX(mmo,mmv)-1,$B$13:$O$501,14)-pmo)))),N367/(1-VLOOKUP(MAX(mmo,mmv)-2,$B$13:$O$501,14)))</f>
        <v>#DIV/0!</v>
      </c>
      <c r="AU368" s="101" t="e">
        <f t="shared" si="272"/>
        <v>#DIV/0!</v>
      </c>
      <c r="AV368" s="287" t="e">
        <f t="shared" si="273"/>
        <v>#DIV/0!</v>
      </c>
      <c r="AW368" s="235" t="e">
        <f t="shared" si="309"/>
        <v>#DIV/0!</v>
      </c>
      <c r="AX368" s="281">
        <f>IF(B368&gt;mpfo,0,IF(B368=mpfo,(vld-teo*(1+tcfo-incc)^(MAX(mmo,mmv)-mbfo))*-1,IF(SUM($N$13:N367)&gt;=pmo,IF(($V367/ntudv)&gt;=pmv,IF(B368=MAX(mmo,mmv),-teo*(1+tcfo-incc)^(B368-mbfo),0),0),0)))</f>
        <v>0</v>
      </c>
      <c r="AY368" s="292" t="e">
        <f t="shared" si="274"/>
        <v>#DIV/0!</v>
      </c>
      <c r="AZ368" s="235" t="e">
        <f t="shared" si="310"/>
        <v>#DIV/0!</v>
      </c>
      <c r="BA368" s="269" t="e">
        <f t="shared" si="311"/>
        <v>#DIV/0!</v>
      </c>
      <c r="BB368" s="292" t="e">
        <f t="shared" si="312"/>
        <v>#DIV/0!</v>
      </c>
      <c r="BC368" s="238" t="e">
        <f>IF(SUM($BC$13:BC367)&gt;0,0,IF(BB368&gt;0,B368,0))</f>
        <v>#DIV/0!</v>
      </c>
      <c r="BD368" s="292" t="e">
        <f>IF(BB368+SUM($BD$12:BD367)&gt;=0,0,-BB368-SUM($BD$12:BD367))</f>
        <v>#DIV/0!</v>
      </c>
      <c r="BE368" s="235" t="e">
        <f>BB368+SUM($BD$12:BD368)</f>
        <v>#DIV/0!</v>
      </c>
      <c r="BF368" s="292" t="e">
        <f>-MIN(BE368:$BE$501)-SUM(BF$12:$BF367)</f>
        <v>#DIV/0!</v>
      </c>
      <c r="BG368" s="235" t="e">
        <f t="shared" si="277"/>
        <v>#DIV/0!</v>
      </c>
    </row>
    <row r="369" spans="2:59">
      <c r="B369" s="120">
        <v>356</v>
      </c>
      <c r="C369" s="241">
        <f t="shared" si="276"/>
        <v>53513</v>
      </c>
      <c r="D369" s="229">
        <f t="shared" si="278"/>
        <v>7</v>
      </c>
      <c r="E369" s="230" t="str">
        <f t="shared" si="279"/>
        <v>-</v>
      </c>
      <c r="F369" s="231">
        <f t="shared" si="280"/>
        <v>0</v>
      </c>
      <c r="G369" s="231">
        <f t="shared" si="281"/>
        <v>0</v>
      </c>
      <c r="H369" s="231">
        <f t="shared" si="282"/>
        <v>0</v>
      </c>
      <c r="I369" s="268">
        <f t="shared" si="267"/>
        <v>0</v>
      </c>
      <c r="J369" s="269">
        <f t="shared" si="283"/>
        <v>0</v>
      </c>
      <c r="K369" s="269">
        <f t="shared" si="284"/>
        <v>0</v>
      </c>
      <c r="L369" s="269">
        <f t="shared" si="268"/>
        <v>0</v>
      </c>
      <c r="M369" s="269">
        <f t="shared" si="269"/>
        <v>0</v>
      </c>
      <c r="N369" s="233">
        <f>VLOOKUP(B369,Dados!$L$86:$P$90,5)</f>
        <v>0</v>
      </c>
      <c r="O369" s="270">
        <f t="shared" si="285"/>
        <v>0.99999999999999989</v>
      </c>
      <c r="P369" s="269">
        <f t="shared" si="286"/>
        <v>0</v>
      </c>
      <c r="Q369" s="269" t="e">
        <f t="shared" si="287"/>
        <v>#DIV/0!</v>
      </c>
      <c r="R369" s="269">
        <f t="shared" si="288"/>
        <v>0</v>
      </c>
      <c r="S369" s="269" t="e">
        <f t="shared" si="289"/>
        <v>#DIV/0!</v>
      </c>
      <c r="T369" s="269" t="e">
        <f t="shared" si="275"/>
        <v>#DIV/0!</v>
      </c>
      <c r="U369" s="234">
        <f t="shared" si="290"/>
        <v>0</v>
      </c>
      <c r="V369" s="232" t="e">
        <f t="shared" si="291"/>
        <v>#DIV/0!</v>
      </c>
      <c r="W369" s="269" t="e">
        <f t="shared" si="292"/>
        <v>#DIV/0!</v>
      </c>
      <c r="X369" s="235">
        <f t="shared" si="270"/>
        <v>0</v>
      </c>
      <c r="Y369" s="236">
        <f t="shared" si="293"/>
        <v>5</v>
      </c>
      <c r="Z369" s="236" t="e">
        <f t="shared" si="294"/>
        <v>#DIV/0!</v>
      </c>
      <c r="AA369" s="236">
        <f t="shared" si="295"/>
        <v>3</v>
      </c>
      <c r="AB369" s="236" t="e">
        <f t="shared" si="296"/>
        <v>#DIV/0!</v>
      </c>
      <c r="AC369" s="235">
        <f t="shared" si="297"/>
        <v>0</v>
      </c>
      <c r="AD369" s="235">
        <f t="shared" si="298"/>
        <v>0</v>
      </c>
      <c r="AE369" s="279">
        <f t="shared" si="299"/>
        <v>0</v>
      </c>
      <c r="AF369" s="232">
        <f t="shared" si="300"/>
        <v>0</v>
      </c>
      <c r="AG369" s="235">
        <f t="shared" si="301"/>
        <v>0</v>
      </c>
      <c r="AH369" s="269">
        <f t="shared" si="302"/>
        <v>0</v>
      </c>
      <c r="AI369" s="232">
        <f t="shared" si="303"/>
        <v>0</v>
      </c>
      <c r="AJ369" s="235">
        <f t="shared" si="304"/>
        <v>0</v>
      </c>
      <c r="AK369" s="269">
        <f t="shared" si="305"/>
        <v>0</v>
      </c>
      <c r="AL369" s="269">
        <f t="shared" si="271"/>
        <v>0</v>
      </c>
      <c r="AM369" s="281" t="e">
        <f>IF(B369&gt;=mpfo,pos*vvm*Dados!$E$122*(ntudv-SUM(U$301:$U370))-SUM($AM$13:AM368),0)</f>
        <v>#DIV/0!</v>
      </c>
      <c r="AN369" s="269" t="e">
        <f t="shared" si="306"/>
        <v>#DIV/0!</v>
      </c>
      <c r="AO369" s="232" t="e">
        <f t="shared" si="307"/>
        <v>#DIV/0!</v>
      </c>
      <c r="AP369" s="242" t="e">
        <f t="shared" si="308"/>
        <v>#DIV/0!</v>
      </c>
      <c r="AQ369" s="235" t="e">
        <f>IF(AP369+SUM($AQ$12:AQ368)&gt;=0,0,-AP369-SUM($AQ$12:AQ368))</f>
        <v>#DIV/0!</v>
      </c>
      <c r="AR369" s="235">
        <f>IF(SUM($N$13:N368)&gt;=pmo,IF(SUM(N368:$N$501)&gt;(1-pmo),B369,0),0)</f>
        <v>0</v>
      </c>
      <c r="AS369" s="235" t="e">
        <f>IF((SUM($U$13:$U368)/ntudv)&gt;=pmv,IF((SUM($U368:$U$501)/ntudv)&gt;(1-pmv),B369,0),0)</f>
        <v>#DIV/0!</v>
      </c>
      <c r="AT369" s="237" t="e">
        <f>IF(MAX(mmo,mmv)=mmo,IF(B369=AR369,(SUM(N$13:$N368)-pmo)/((1-VLOOKUP(MAX(mmo,mmv)-1,$B$13:$O$501,14))+(VLOOKUP(MAX(mmo,mmv)-1,$B$13:$O$501,14)-pmo)),N368/((1-VLOOKUP(MAX(mmo,mmv)-1,$B$13:$O$501,14)+(VLOOKUP(MAX(mmo,mmv)-1,$B$13:$O$501,14)-pmo)))),N368/(1-VLOOKUP(MAX(mmo,mmv)-2,$B$13:$O$501,14)))</f>
        <v>#DIV/0!</v>
      </c>
      <c r="AU369" s="101" t="e">
        <f t="shared" si="272"/>
        <v>#DIV/0!</v>
      </c>
      <c r="AV369" s="287" t="e">
        <f t="shared" si="273"/>
        <v>#DIV/0!</v>
      </c>
      <c r="AW369" s="235" t="e">
        <f t="shared" si="309"/>
        <v>#DIV/0!</v>
      </c>
      <c r="AX369" s="281">
        <f>IF(B369&gt;mpfo,0,IF(B369=mpfo,(vld-teo*(1+tcfo-incc)^(MAX(mmo,mmv)-mbfo))*-1,IF(SUM($N$13:N368)&gt;=pmo,IF(($V368/ntudv)&gt;=pmv,IF(B369=MAX(mmo,mmv),-teo*(1+tcfo-incc)^(B369-mbfo),0),0),0)))</f>
        <v>0</v>
      </c>
      <c r="AY369" s="292" t="e">
        <f t="shared" si="274"/>
        <v>#DIV/0!</v>
      </c>
      <c r="AZ369" s="235" t="e">
        <f t="shared" si="310"/>
        <v>#DIV/0!</v>
      </c>
      <c r="BA369" s="269" t="e">
        <f t="shared" si="311"/>
        <v>#DIV/0!</v>
      </c>
      <c r="BB369" s="292" t="e">
        <f t="shared" si="312"/>
        <v>#DIV/0!</v>
      </c>
      <c r="BC369" s="238" t="e">
        <f>IF(SUM($BC$13:BC368)&gt;0,0,IF(BB369&gt;0,B369,0))</f>
        <v>#DIV/0!</v>
      </c>
      <c r="BD369" s="292" t="e">
        <f>IF(BB369+SUM($BD$12:BD368)&gt;=0,0,-BB369-SUM($BD$12:BD368))</f>
        <v>#DIV/0!</v>
      </c>
      <c r="BE369" s="235" t="e">
        <f>BB369+SUM($BD$12:BD369)</f>
        <v>#DIV/0!</v>
      </c>
      <c r="BF369" s="292" t="e">
        <f>-MIN(BE369:$BE$501)-SUM(BF$12:$BF368)</f>
        <v>#DIV/0!</v>
      </c>
      <c r="BG369" s="235" t="e">
        <f t="shared" si="277"/>
        <v>#DIV/0!</v>
      </c>
    </row>
    <row r="370" spans="2:59">
      <c r="B370" s="246">
        <v>357</v>
      </c>
      <c r="C370" s="241">
        <f t="shared" si="276"/>
        <v>53544</v>
      </c>
      <c r="D370" s="229">
        <f t="shared" si="278"/>
        <v>8</v>
      </c>
      <c r="E370" s="230" t="str">
        <f t="shared" si="279"/>
        <v>-</v>
      </c>
      <c r="F370" s="231">
        <f t="shared" si="280"/>
        <v>0</v>
      </c>
      <c r="G370" s="231">
        <f t="shared" si="281"/>
        <v>0</v>
      </c>
      <c r="H370" s="231">
        <f t="shared" si="282"/>
        <v>0</v>
      </c>
      <c r="I370" s="268">
        <f t="shared" si="267"/>
        <v>0</v>
      </c>
      <c r="J370" s="269">
        <f t="shared" si="283"/>
        <v>0</v>
      </c>
      <c r="K370" s="269">
        <f t="shared" si="284"/>
        <v>0</v>
      </c>
      <c r="L370" s="269">
        <f t="shared" si="268"/>
        <v>0</v>
      </c>
      <c r="M370" s="269">
        <f t="shared" si="269"/>
        <v>0</v>
      </c>
      <c r="N370" s="233">
        <f>VLOOKUP(B370,Dados!$L$86:$P$90,5)</f>
        <v>0</v>
      </c>
      <c r="O370" s="270">
        <f t="shared" si="285"/>
        <v>0.99999999999999989</v>
      </c>
      <c r="P370" s="269">
        <f t="shared" si="286"/>
        <v>0</v>
      </c>
      <c r="Q370" s="269" t="e">
        <f t="shared" si="287"/>
        <v>#DIV/0!</v>
      </c>
      <c r="R370" s="269">
        <f t="shared" si="288"/>
        <v>0</v>
      </c>
      <c r="S370" s="269" t="e">
        <f t="shared" si="289"/>
        <v>#DIV/0!</v>
      </c>
      <c r="T370" s="269" t="e">
        <f t="shared" si="275"/>
        <v>#DIV/0!</v>
      </c>
      <c r="U370" s="234">
        <f t="shared" si="290"/>
        <v>0</v>
      </c>
      <c r="V370" s="232" t="e">
        <f t="shared" si="291"/>
        <v>#DIV/0!</v>
      </c>
      <c r="W370" s="269" t="e">
        <f t="shared" si="292"/>
        <v>#DIV/0!</v>
      </c>
      <c r="X370" s="235">
        <f t="shared" si="270"/>
        <v>0</v>
      </c>
      <c r="Y370" s="236">
        <f t="shared" si="293"/>
        <v>5</v>
      </c>
      <c r="Z370" s="236" t="e">
        <f t="shared" si="294"/>
        <v>#DIV/0!</v>
      </c>
      <c r="AA370" s="236">
        <f t="shared" si="295"/>
        <v>3</v>
      </c>
      <c r="AB370" s="236" t="e">
        <f t="shared" si="296"/>
        <v>#DIV/0!</v>
      </c>
      <c r="AC370" s="235">
        <f t="shared" si="297"/>
        <v>0</v>
      </c>
      <c r="AD370" s="235">
        <f t="shared" si="298"/>
        <v>0</v>
      </c>
      <c r="AE370" s="279">
        <f t="shared" si="299"/>
        <v>0</v>
      </c>
      <c r="AF370" s="232">
        <f t="shared" si="300"/>
        <v>0</v>
      </c>
      <c r="AG370" s="235">
        <f t="shared" si="301"/>
        <v>0</v>
      </c>
      <c r="AH370" s="269">
        <f t="shared" si="302"/>
        <v>0</v>
      </c>
      <c r="AI370" s="232">
        <f t="shared" si="303"/>
        <v>0</v>
      </c>
      <c r="AJ370" s="235">
        <f t="shared" si="304"/>
        <v>0</v>
      </c>
      <c r="AK370" s="269">
        <f t="shared" si="305"/>
        <v>0</v>
      </c>
      <c r="AL370" s="269">
        <f t="shared" si="271"/>
        <v>0</v>
      </c>
      <c r="AM370" s="281" t="e">
        <f>IF(B370&gt;=mpfo,pos*vvm*Dados!$E$122*(ntudv-SUM(U$301:$U371))-SUM($AM$13:AM369),0)</f>
        <v>#DIV/0!</v>
      </c>
      <c r="AN370" s="269" t="e">
        <f t="shared" si="306"/>
        <v>#DIV/0!</v>
      </c>
      <c r="AO370" s="232" t="e">
        <f t="shared" si="307"/>
        <v>#DIV/0!</v>
      </c>
      <c r="AP370" s="242" t="e">
        <f t="shared" si="308"/>
        <v>#DIV/0!</v>
      </c>
      <c r="AQ370" s="235" t="e">
        <f>IF(AP370+SUM($AQ$12:AQ369)&gt;=0,0,-AP370-SUM($AQ$12:AQ369))</f>
        <v>#DIV/0!</v>
      </c>
      <c r="AR370" s="235">
        <f>IF(SUM($N$13:N369)&gt;=pmo,IF(SUM(N369:$N$501)&gt;(1-pmo),B370,0),0)</f>
        <v>0</v>
      </c>
      <c r="AS370" s="235" t="e">
        <f>IF((SUM($U$13:$U369)/ntudv)&gt;=pmv,IF((SUM($U369:$U$501)/ntudv)&gt;(1-pmv),B370,0),0)</f>
        <v>#DIV/0!</v>
      </c>
      <c r="AT370" s="237" t="e">
        <f>IF(MAX(mmo,mmv)=mmo,IF(B370=AR370,(SUM(N$13:$N369)-pmo)/((1-VLOOKUP(MAX(mmo,mmv)-1,$B$13:$O$501,14))+(VLOOKUP(MAX(mmo,mmv)-1,$B$13:$O$501,14)-pmo)),N369/((1-VLOOKUP(MAX(mmo,mmv)-1,$B$13:$O$501,14)+(VLOOKUP(MAX(mmo,mmv)-1,$B$13:$O$501,14)-pmo)))),N369/(1-VLOOKUP(MAX(mmo,mmv)-2,$B$13:$O$501,14)))</f>
        <v>#DIV/0!</v>
      </c>
      <c r="AU370" s="101" t="e">
        <f t="shared" si="272"/>
        <v>#DIV/0!</v>
      </c>
      <c r="AV370" s="287" t="e">
        <f t="shared" si="273"/>
        <v>#DIV/0!</v>
      </c>
      <c r="AW370" s="235" t="e">
        <f t="shared" si="309"/>
        <v>#DIV/0!</v>
      </c>
      <c r="AX370" s="281">
        <f>IF(B370&gt;mpfo,0,IF(B370=mpfo,(vld-teo*(1+tcfo-incc)^(MAX(mmo,mmv)-mbfo))*-1,IF(SUM($N$13:N369)&gt;=pmo,IF(($V369/ntudv)&gt;=pmv,IF(B370=MAX(mmo,mmv),-teo*(1+tcfo-incc)^(B370-mbfo),0),0),0)))</f>
        <v>0</v>
      </c>
      <c r="AY370" s="292" t="e">
        <f t="shared" si="274"/>
        <v>#DIV/0!</v>
      </c>
      <c r="AZ370" s="235" t="e">
        <f t="shared" si="310"/>
        <v>#DIV/0!</v>
      </c>
      <c r="BA370" s="269" t="e">
        <f t="shared" si="311"/>
        <v>#DIV/0!</v>
      </c>
      <c r="BB370" s="292" t="e">
        <f t="shared" si="312"/>
        <v>#DIV/0!</v>
      </c>
      <c r="BC370" s="238" t="e">
        <f>IF(SUM($BC$13:BC369)&gt;0,0,IF(BB370&gt;0,B370,0))</f>
        <v>#DIV/0!</v>
      </c>
      <c r="BD370" s="292" t="e">
        <f>IF(BB370+SUM($BD$12:BD369)&gt;=0,0,-BB370-SUM($BD$12:BD369))</f>
        <v>#DIV/0!</v>
      </c>
      <c r="BE370" s="235" t="e">
        <f>BB370+SUM($BD$12:BD370)</f>
        <v>#DIV/0!</v>
      </c>
      <c r="BF370" s="292" t="e">
        <f>-MIN(BE370:$BE$501)-SUM(BF$12:$BF369)</f>
        <v>#DIV/0!</v>
      </c>
      <c r="BG370" s="235" t="e">
        <f t="shared" si="277"/>
        <v>#DIV/0!</v>
      </c>
    </row>
    <row r="371" spans="2:59">
      <c r="B371" s="120">
        <v>358</v>
      </c>
      <c r="C371" s="241">
        <f t="shared" si="276"/>
        <v>53575</v>
      </c>
      <c r="D371" s="229">
        <f t="shared" si="278"/>
        <v>9</v>
      </c>
      <c r="E371" s="230" t="str">
        <f t="shared" si="279"/>
        <v>-</v>
      </c>
      <c r="F371" s="231">
        <f t="shared" si="280"/>
        <v>0</v>
      </c>
      <c r="G371" s="231">
        <f t="shared" si="281"/>
        <v>0</v>
      </c>
      <c r="H371" s="231">
        <f t="shared" si="282"/>
        <v>0</v>
      </c>
      <c r="I371" s="268">
        <f t="shared" si="267"/>
        <v>0</v>
      </c>
      <c r="J371" s="269">
        <f t="shared" si="283"/>
        <v>0</v>
      </c>
      <c r="K371" s="269">
        <f t="shared" si="284"/>
        <v>0</v>
      </c>
      <c r="L371" s="269">
        <f t="shared" si="268"/>
        <v>0</v>
      </c>
      <c r="M371" s="269">
        <f t="shared" si="269"/>
        <v>0</v>
      </c>
      <c r="N371" s="233">
        <f>VLOOKUP(B371,Dados!$L$86:$P$90,5)</f>
        <v>0</v>
      </c>
      <c r="O371" s="270">
        <f t="shared" si="285"/>
        <v>0.99999999999999989</v>
      </c>
      <c r="P371" s="269">
        <f t="shared" si="286"/>
        <v>0</v>
      </c>
      <c r="Q371" s="269" t="e">
        <f t="shared" si="287"/>
        <v>#DIV/0!</v>
      </c>
      <c r="R371" s="269">
        <f t="shared" si="288"/>
        <v>0</v>
      </c>
      <c r="S371" s="269" t="e">
        <f t="shared" si="289"/>
        <v>#DIV/0!</v>
      </c>
      <c r="T371" s="269" t="e">
        <f t="shared" si="275"/>
        <v>#DIV/0!</v>
      </c>
      <c r="U371" s="234">
        <f t="shared" si="290"/>
        <v>0</v>
      </c>
      <c r="V371" s="232" t="e">
        <f t="shared" si="291"/>
        <v>#DIV/0!</v>
      </c>
      <c r="W371" s="269" t="e">
        <f t="shared" si="292"/>
        <v>#DIV/0!</v>
      </c>
      <c r="X371" s="235">
        <f t="shared" si="270"/>
        <v>0</v>
      </c>
      <c r="Y371" s="236">
        <f t="shared" si="293"/>
        <v>5</v>
      </c>
      <c r="Z371" s="236" t="e">
        <f t="shared" si="294"/>
        <v>#DIV/0!</v>
      </c>
      <c r="AA371" s="236">
        <f t="shared" si="295"/>
        <v>3</v>
      </c>
      <c r="AB371" s="236" t="e">
        <f t="shared" si="296"/>
        <v>#DIV/0!</v>
      </c>
      <c r="AC371" s="235">
        <f t="shared" si="297"/>
        <v>0</v>
      </c>
      <c r="AD371" s="235">
        <f t="shared" si="298"/>
        <v>0</v>
      </c>
      <c r="AE371" s="279">
        <f t="shared" si="299"/>
        <v>0</v>
      </c>
      <c r="AF371" s="232">
        <f t="shared" si="300"/>
        <v>0</v>
      </c>
      <c r="AG371" s="235">
        <f t="shared" si="301"/>
        <v>0</v>
      </c>
      <c r="AH371" s="269">
        <f t="shared" si="302"/>
        <v>0</v>
      </c>
      <c r="AI371" s="232">
        <f t="shared" si="303"/>
        <v>0</v>
      </c>
      <c r="AJ371" s="235">
        <f t="shared" si="304"/>
        <v>0</v>
      </c>
      <c r="AK371" s="269">
        <f t="shared" si="305"/>
        <v>0</v>
      </c>
      <c r="AL371" s="269">
        <f t="shared" si="271"/>
        <v>0</v>
      </c>
      <c r="AM371" s="281" t="e">
        <f>IF(B371&gt;=mpfo,pos*vvm*Dados!$E$122*(ntudv-SUM(U$301:$U372))-SUM($AM$13:AM370),0)</f>
        <v>#DIV/0!</v>
      </c>
      <c r="AN371" s="269" t="e">
        <f t="shared" si="306"/>
        <v>#DIV/0!</v>
      </c>
      <c r="AO371" s="232" t="e">
        <f t="shared" si="307"/>
        <v>#DIV/0!</v>
      </c>
      <c r="AP371" s="242" t="e">
        <f t="shared" si="308"/>
        <v>#DIV/0!</v>
      </c>
      <c r="AQ371" s="235" t="e">
        <f>IF(AP371+SUM($AQ$12:AQ370)&gt;=0,0,-AP371-SUM($AQ$12:AQ370))</f>
        <v>#DIV/0!</v>
      </c>
      <c r="AR371" s="235">
        <f>IF(SUM($N$13:N370)&gt;=pmo,IF(SUM(N370:$N$501)&gt;(1-pmo),B371,0),0)</f>
        <v>0</v>
      </c>
      <c r="AS371" s="235" t="e">
        <f>IF((SUM($U$13:$U370)/ntudv)&gt;=pmv,IF((SUM($U370:$U$501)/ntudv)&gt;(1-pmv),B371,0),0)</f>
        <v>#DIV/0!</v>
      </c>
      <c r="AT371" s="237" t="e">
        <f>IF(MAX(mmo,mmv)=mmo,IF(B371=AR371,(SUM(N$13:$N370)-pmo)/((1-VLOOKUP(MAX(mmo,mmv)-1,$B$13:$O$501,14))+(VLOOKUP(MAX(mmo,mmv)-1,$B$13:$O$501,14)-pmo)),N370/((1-VLOOKUP(MAX(mmo,mmv)-1,$B$13:$O$501,14)+(VLOOKUP(MAX(mmo,mmv)-1,$B$13:$O$501,14)-pmo)))),N370/(1-VLOOKUP(MAX(mmo,mmv)-2,$B$13:$O$501,14)))</f>
        <v>#DIV/0!</v>
      </c>
      <c r="AU371" s="101" t="e">
        <f t="shared" si="272"/>
        <v>#DIV/0!</v>
      </c>
      <c r="AV371" s="287" t="e">
        <f t="shared" si="273"/>
        <v>#DIV/0!</v>
      </c>
      <c r="AW371" s="235" t="e">
        <f t="shared" si="309"/>
        <v>#DIV/0!</v>
      </c>
      <c r="AX371" s="281">
        <f>IF(B371&gt;mpfo,0,IF(B371=mpfo,(vld-teo*(1+tcfo-incc)^(MAX(mmo,mmv)-mbfo))*-1,IF(SUM($N$13:N370)&gt;=pmo,IF(($V370/ntudv)&gt;=pmv,IF(B371=MAX(mmo,mmv),-teo*(1+tcfo-incc)^(B371-mbfo),0),0),0)))</f>
        <v>0</v>
      </c>
      <c r="AY371" s="292" t="e">
        <f t="shared" si="274"/>
        <v>#DIV/0!</v>
      </c>
      <c r="AZ371" s="235" t="e">
        <f t="shared" si="310"/>
        <v>#DIV/0!</v>
      </c>
      <c r="BA371" s="269" t="e">
        <f t="shared" si="311"/>
        <v>#DIV/0!</v>
      </c>
      <c r="BB371" s="292" t="e">
        <f t="shared" si="312"/>
        <v>#DIV/0!</v>
      </c>
      <c r="BC371" s="238" t="e">
        <f>IF(SUM($BC$13:BC370)&gt;0,0,IF(BB371&gt;0,B371,0))</f>
        <v>#DIV/0!</v>
      </c>
      <c r="BD371" s="292" t="e">
        <f>IF(BB371+SUM($BD$12:BD370)&gt;=0,0,-BB371-SUM($BD$12:BD370))</f>
        <v>#DIV/0!</v>
      </c>
      <c r="BE371" s="235" t="e">
        <f>BB371+SUM($BD$12:BD371)</f>
        <v>#DIV/0!</v>
      </c>
      <c r="BF371" s="292" t="e">
        <f>-MIN(BE371:$BE$501)-SUM(BF$12:$BF370)</f>
        <v>#DIV/0!</v>
      </c>
      <c r="BG371" s="235" t="e">
        <f t="shared" si="277"/>
        <v>#DIV/0!</v>
      </c>
    </row>
    <row r="372" spans="2:59">
      <c r="B372" s="246">
        <v>359</v>
      </c>
      <c r="C372" s="241">
        <f t="shared" si="276"/>
        <v>53605</v>
      </c>
      <c r="D372" s="229">
        <f t="shared" si="278"/>
        <v>10</v>
      </c>
      <c r="E372" s="230" t="str">
        <f t="shared" si="279"/>
        <v>-</v>
      </c>
      <c r="F372" s="231">
        <f t="shared" si="280"/>
        <v>0</v>
      </c>
      <c r="G372" s="231">
        <f t="shared" si="281"/>
        <v>0</v>
      </c>
      <c r="H372" s="231">
        <f t="shared" si="282"/>
        <v>0</v>
      </c>
      <c r="I372" s="268">
        <f t="shared" si="267"/>
        <v>0</v>
      </c>
      <c r="J372" s="269">
        <f t="shared" si="283"/>
        <v>0</v>
      </c>
      <c r="K372" s="269">
        <f t="shared" si="284"/>
        <v>0</v>
      </c>
      <c r="L372" s="269">
        <f t="shared" si="268"/>
        <v>0</v>
      </c>
      <c r="M372" s="269">
        <f t="shared" si="269"/>
        <v>0</v>
      </c>
      <c r="N372" s="233">
        <f>VLOOKUP(B372,Dados!$L$86:$P$90,5)</f>
        <v>0</v>
      </c>
      <c r="O372" s="270">
        <f t="shared" si="285"/>
        <v>0.99999999999999989</v>
      </c>
      <c r="P372" s="269">
        <f t="shared" si="286"/>
        <v>0</v>
      </c>
      <c r="Q372" s="269" t="e">
        <f t="shared" si="287"/>
        <v>#DIV/0!</v>
      </c>
      <c r="R372" s="269">
        <f t="shared" si="288"/>
        <v>0</v>
      </c>
      <c r="S372" s="269" t="e">
        <f t="shared" si="289"/>
        <v>#DIV/0!</v>
      </c>
      <c r="T372" s="269" t="e">
        <f t="shared" si="275"/>
        <v>#DIV/0!</v>
      </c>
      <c r="U372" s="234">
        <f t="shared" si="290"/>
        <v>0</v>
      </c>
      <c r="V372" s="232" t="e">
        <f t="shared" si="291"/>
        <v>#DIV/0!</v>
      </c>
      <c r="W372" s="269" t="e">
        <f t="shared" si="292"/>
        <v>#DIV/0!</v>
      </c>
      <c r="X372" s="235">
        <f t="shared" si="270"/>
        <v>0</v>
      </c>
      <c r="Y372" s="236">
        <f t="shared" si="293"/>
        <v>5</v>
      </c>
      <c r="Z372" s="236" t="e">
        <f t="shared" si="294"/>
        <v>#DIV/0!</v>
      </c>
      <c r="AA372" s="236">
        <f t="shared" si="295"/>
        <v>3</v>
      </c>
      <c r="AB372" s="236" t="e">
        <f t="shared" si="296"/>
        <v>#DIV/0!</v>
      </c>
      <c r="AC372" s="235">
        <f t="shared" si="297"/>
        <v>0</v>
      </c>
      <c r="AD372" s="235">
        <f t="shared" si="298"/>
        <v>0</v>
      </c>
      <c r="AE372" s="279">
        <f t="shared" si="299"/>
        <v>0</v>
      </c>
      <c r="AF372" s="232">
        <f t="shared" si="300"/>
        <v>0</v>
      </c>
      <c r="AG372" s="235">
        <f t="shared" si="301"/>
        <v>0</v>
      </c>
      <c r="AH372" s="269">
        <f t="shared" si="302"/>
        <v>0</v>
      </c>
      <c r="AI372" s="232">
        <f t="shared" si="303"/>
        <v>0</v>
      </c>
      <c r="AJ372" s="235">
        <f t="shared" si="304"/>
        <v>0</v>
      </c>
      <c r="AK372" s="269">
        <f t="shared" si="305"/>
        <v>0</v>
      </c>
      <c r="AL372" s="269">
        <f t="shared" si="271"/>
        <v>0</v>
      </c>
      <c r="AM372" s="281" t="e">
        <f>IF(B372&gt;=mpfo,pos*vvm*Dados!$E$122*(ntudv-SUM(U$301:$U373))-SUM($AM$13:AM371),0)</f>
        <v>#DIV/0!</v>
      </c>
      <c r="AN372" s="269" t="e">
        <f t="shared" si="306"/>
        <v>#DIV/0!</v>
      </c>
      <c r="AO372" s="232" t="e">
        <f t="shared" si="307"/>
        <v>#DIV/0!</v>
      </c>
      <c r="AP372" s="242" t="e">
        <f t="shared" si="308"/>
        <v>#DIV/0!</v>
      </c>
      <c r="AQ372" s="235" t="e">
        <f>IF(AP372+SUM($AQ$12:AQ371)&gt;=0,0,-AP372-SUM($AQ$12:AQ371))</f>
        <v>#DIV/0!</v>
      </c>
      <c r="AR372" s="235">
        <f>IF(SUM($N$13:N371)&gt;=pmo,IF(SUM(N371:$N$501)&gt;(1-pmo),B372,0),0)</f>
        <v>0</v>
      </c>
      <c r="AS372" s="235" t="e">
        <f>IF((SUM($U$13:$U371)/ntudv)&gt;=pmv,IF((SUM($U371:$U$501)/ntudv)&gt;(1-pmv),B372,0),0)</f>
        <v>#DIV/0!</v>
      </c>
      <c r="AT372" s="237" t="e">
        <f>IF(MAX(mmo,mmv)=mmo,IF(B372=AR372,(SUM(N$13:$N371)-pmo)/((1-VLOOKUP(MAX(mmo,mmv)-1,$B$13:$O$501,14))+(VLOOKUP(MAX(mmo,mmv)-1,$B$13:$O$501,14)-pmo)),N371/((1-VLOOKUP(MAX(mmo,mmv)-1,$B$13:$O$501,14)+(VLOOKUP(MAX(mmo,mmv)-1,$B$13:$O$501,14)-pmo)))),N371/(1-VLOOKUP(MAX(mmo,mmv)-2,$B$13:$O$501,14)))</f>
        <v>#DIV/0!</v>
      </c>
      <c r="AU372" s="101" t="e">
        <f t="shared" si="272"/>
        <v>#DIV/0!</v>
      </c>
      <c r="AV372" s="287" t="e">
        <f t="shared" si="273"/>
        <v>#DIV/0!</v>
      </c>
      <c r="AW372" s="235" t="e">
        <f t="shared" si="309"/>
        <v>#DIV/0!</v>
      </c>
      <c r="AX372" s="281">
        <f>IF(B372&gt;mpfo,0,IF(B372=mpfo,(vld-teo*(1+tcfo-incc)^(MAX(mmo,mmv)-mbfo))*-1,IF(SUM($N$13:N371)&gt;=pmo,IF(($V371/ntudv)&gt;=pmv,IF(B372=MAX(mmo,mmv),-teo*(1+tcfo-incc)^(B372-mbfo),0),0),0)))</f>
        <v>0</v>
      </c>
      <c r="AY372" s="292" t="e">
        <f t="shared" si="274"/>
        <v>#DIV/0!</v>
      </c>
      <c r="AZ372" s="235" t="e">
        <f t="shared" si="310"/>
        <v>#DIV/0!</v>
      </c>
      <c r="BA372" s="269" t="e">
        <f t="shared" si="311"/>
        <v>#DIV/0!</v>
      </c>
      <c r="BB372" s="292" t="e">
        <f t="shared" si="312"/>
        <v>#DIV/0!</v>
      </c>
      <c r="BC372" s="238" t="e">
        <f>IF(SUM($BC$13:BC371)&gt;0,0,IF(BB372&gt;0,B372,0))</f>
        <v>#DIV/0!</v>
      </c>
      <c r="BD372" s="292" t="e">
        <f>IF(BB372+SUM($BD$12:BD371)&gt;=0,0,-BB372-SUM($BD$12:BD371))</f>
        <v>#DIV/0!</v>
      </c>
      <c r="BE372" s="235" t="e">
        <f>BB372+SUM($BD$12:BD372)</f>
        <v>#DIV/0!</v>
      </c>
      <c r="BF372" s="292" t="e">
        <f>-MIN(BE372:$BE$501)-SUM(BF$12:$BF371)</f>
        <v>#DIV/0!</v>
      </c>
      <c r="BG372" s="235" t="e">
        <f t="shared" si="277"/>
        <v>#DIV/0!</v>
      </c>
    </row>
    <row r="373" spans="2:59">
      <c r="B373" s="120">
        <v>360</v>
      </c>
      <c r="C373" s="241">
        <f t="shared" si="276"/>
        <v>53636</v>
      </c>
      <c r="D373" s="229">
        <f t="shared" si="278"/>
        <v>11</v>
      </c>
      <c r="E373" s="230" t="str">
        <f t="shared" si="279"/>
        <v>-</v>
      </c>
      <c r="F373" s="231">
        <f t="shared" si="280"/>
        <v>0</v>
      </c>
      <c r="G373" s="231">
        <f t="shared" si="281"/>
        <v>0</v>
      </c>
      <c r="H373" s="231">
        <f t="shared" si="282"/>
        <v>0</v>
      </c>
      <c r="I373" s="268">
        <f t="shared" si="267"/>
        <v>0</v>
      </c>
      <c r="J373" s="269">
        <f t="shared" si="283"/>
        <v>0</v>
      </c>
      <c r="K373" s="269">
        <f t="shared" si="284"/>
        <v>0</v>
      </c>
      <c r="L373" s="269">
        <f t="shared" si="268"/>
        <v>0</v>
      </c>
      <c r="M373" s="269">
        <f t="shared" si="269"/>
        <v>0</v>
      </c>
      <c r="N373" s="233">
        <f>VLOOKUP(B373,Dados!$L$86:$P$90,5)</f>
        <v>0</v>
      </c>
      <c r="O373" s="270">
        <f t="shared" si="285"/>
        <v>0.99999999999999989</v>
      </c>
      <c r="P373" s="269">
        <f t="shared" si="286"/>
        <v>0</v>
      </c>
      <c r="Q373" s="269" t="e">
        <f t="shared" si="287"/>
        <v>#DIV/0!</v>
      </c>
      <c r="R373" s="269">
        <f t="shared" si="288"/>
        <v>0</v>
      </c>
      <c r="S373" s="269" t="e">
        <f t="shared" si="289"/>
        <v>#DIV/0!</v>
      </c>
      <c r="T373" s="269" t="e">
        <f t="shared" si="275"/>
        <v>#DIV/0!</v>
      </c>
      <c r="U373" s="234">
        <f t="shared" si="290"/>
        <v>0</v>
      </c>
      <c r="V373" s="232" t="e">
        <f t="shared" si="291"/>
        <v>#DIV/0!</v>
      </c>
      <c r="W373" s="269" t="e">
        <f t="shared" si="292"/>
        <v>#DIV/0!</v>
      </c>
      <c r="X373" s="235">
        <f t="shared" si="270"/>
        <v>0</v>
      </c>
      <c r="Y373" s="236">
        <f t="shared" si="293"/>
        <v>5</v>
      </c>
      <c r="Z373" s="236" t="e">
        <f t="shared" si="294"/>
        <v>#DIV/0!</v>
      </c>
      <c r="AA373" s="236">
        <f t="shared" si="295"/>
        <v>3</v>
      </c>
      <c r="AB373" s="236" t="e">
        <f t="shared" si="296"/>
        <v>#DIV/0!</v>
      </c>
      <c r="AC373" s="235">
        <f t="shared" si="297"/>
        <v>0</v>
      </c>
      <c r="AD373" s="235">
        <f t="shared" si="298"/>
        <v>0</v>
      </c>
      <c r="AE373" s="279">
        <f t="shared" si="299"/>
        <v>0</v>
      </c>
      <c r="AF373" s="232">
        <f t="shared" si="300"/>
        <v>0</v>
      </c>
      <c r="AG373" s="235">
        <f t="shared" si="301"/>
        <v>0</v>
      </c>
      <c r="AH373" s="269">
        <f t="shared" si="302"/>
        <v>0</v>
      </c>
      <c r="AI373" s="232">
        <f t="shared" si="303"/>
        <v>0</v>
      </c>
      <c r="AJ373" s="235">
        <f t="shared" si="304"/>
        <v>0</v>
      </c>
      <c r="AK373" s="269">
        <f t="shared" si="305"/>
        <v>0</v>
      </c>
      <c r="AL373" s="269">
        <f t="shared" si="271"/>
        <v>0</v>
      </c>
      <c r="AM373" s="281" t="e">
        <f>IF(B373&gt;=mpfo,pos*vvm*Dados!$E$122*(ntudv-SUM(U$301:$U374))-SUM($AM$13:AM372),0)</f>
        <v>#DIV/0!</v>
      </c>
      <c r="AN373" s="269" t="e">
        <f t="shared" si="306"/>
        <v>#DIV/0!</v>
      </c>
      <c r="AO373" s="232" t="e">
        <f t="shared" si="307"/>
        <v>#DIV/0!</v>
      </c>
      <c r="AP373" s="242" t="e">
        <f t="shared" si="308"/>
        <v>#DIV/0!</v>
      </c>
      <c r="AQ373" s="235" t="e">
        <f>IF(AP373+SUM($AQ$12:AQ372)&gt;=0,0,-AP373-SUM($AQ$12:AQ372))</f>
        <v>#DIV/0!</v>
      </c>
      <c r="AR373" s="235">
        <f>IF(SUM($N$13:N372)&gt;=pmo,IF(SUM(N372:$N$501)&gt;(1-pmo),B373,0),0)</f>
        <v>0</v>
      </c>
      <c r="AS373" s="235" t="e">
        <f>IF((SUM($U$13:$U372)/ntudv)&gt;=pmv,IF((SUM($U372:$U$501)/ntudv)&gt;(1-pmv),B373,0),0)</f>
        <v>#DIV/0!</v>
      </c>
      <c r="AT373" s="237" t="e">
        <f>IF(MAX(mmo,mmv)=mmo,IF(B373=AR373,(SUM(N$13:$N372)-pmo)/((1-VLOOKUP(MAX(mmo,mmv)-1,$B$13:$O$501,14))+(VLOOKUP(MAX(mmo,mmv)-1,$B$13:$O$501,14)-pmo)),N372/((1-VLOOKUP(MAX(mmo,mmv)-1,$B$13:$O$501,14)+(VLOOKUP(MAX(mmo,mmv)-1,$B$13:$O$501,14)-pmo)))),N372/(1-VLOOKUP(MAX(mmo,mmv)-2,$B$13:$O$501,14)))</f>
        <v>#DIV/0!</v>
      </c>
      <c r="AU373" s="101" t="e">
        <f t="shared" si="272"/>
        <v>#DIV/0!</v>
      </c>
      <c r="AV373" s="287" t="e">
        <f t="shared" si="273"/>
        <v>#DIV/0!</v>
      </c>
      <c r="AW373" s="235" t="e">
        <f t="shared" si="309"/>
        <v>#DIV/0!</v>
      </c>
      <c r="AX373" s="281">
        <f>IF(B373&gt;mpfo,0,IF(B373=mpfo,(vld-teo*(1+tcfo-incc)^(MAX(mmo,mmv)-mbfo))*-1,IF(SUM($N$13:N372)&gt;=pmo,IF(($V372/ntudv)&gt;=pmv,IF(B373=MAX(mmo,mmv),-teo*(1+tcfo-incc)^(B373-mbfo),0),0),0)))</f>
        <v>0</v>
      </c>
      <c r="AY373" s="292" t="e">
        <f t="shared" si="274"/>
        <v>#DIV/0!</v>
      </c>
      <c r="AZ373" s="235" t="e">
        <f t="shared" si="310"/>
        <v>#DIV/0!</v>
      </c>
      <c r="BA373" s="269" t="e">
        <f t="shared" si="311"/>
        <v>#DIV/0!</v>
      </c>
      <c r="BB373" s="292" t="e">
        <f t="shared" si="312"/>
        <v>#DIV/0!</v>
      </c>
      <c r="BC373" s="238" t="e">
        <f>IF(SUM($BC$13:BC372)&gt;0,0,IF(BB373&gt;0,B373,0))</f>
        <v>#DIV/0!</v>
      </c>
      <c r="BD373" s="292" t="e">
        <f>IF(BB373+SUM($BD$12:BD372)&gt;=0,0,-BB373-SUM($BD$12:BD372))</f>
        <v>#DIV/0!</v>
      </c>
      <c r="BE373" s="235" t="e">
        <f>BB373+SUM($BD$12:BD373)</f>
        <v>#DIV/0!</v>
      </c>
      <c r="BF373" s="292" t="e">
        <f>-MIN(BE373:$BE$501)-SUM(BF$12:$BF372)</f>
        <v>#DIV/0!</v>
      </c>
      <c r="BG373" s="235" t="e">
        <f t="shared" si="277"/>
        <v>#DIV/0!</v>
      </c>
    </row>
    <row r="374" spans="2:59">
      <c r="B374" s="246">
        <v>361</v>
      </c>
      <c r="C374" s="241">
        <f t="shared" si="276"/>
        <v>53666</v>
      </c>
      <c r="D374" s="229">
        <f t="shared" si="278"/>
        <v>12</v>
      </c>
      <c r="E374" s="230" t="str">
        <f t="shared" si="279"/>
        <v>-</v>
      </c>
      <c r="F374" s="231">
        <f t="shared" si="280"/>
        <v>0</v>
      </c>
      <c r="G374" s="231">
        <f t="shared" si="281"/>
        <v>0</v>
      </c>
      <c r="H374" s="231">
        <f t="shared" si="282"/>
        <v>0</v>
      </c>
      <c r="I374" s="268">
        <f t="shared" si="267"/>
        <v>0</v>
      </c>
      <c r="J374" s="269">
        <f t="shared" si="283"/>
        <v>0</v>
      </c>
      <c r="K374" s="269">
        <f t="shared" si="284"/>
        <v>0</v>
      </c>
      <c r="L374" s="269">
        <f t="shared" si="268"/>
        <v>0</v>
      </c>
      <c r="M374" s="269">
        <f t="shared" si="269"/>
        <v>0</v>
      </c>
      <c r="N374" s="233">
        <f>VLOOKUP(B374,Dados!$L$86:$P$90,5)</f>
        <v>0</v>
      </c>
      <c r="O374" s="270">
        <f t="shared" si="285"/>
        <v>0.99999999999999989</v>
      </c>
      <c r="P374" s="269">
        <f t="shared" si="286"/>
        <v>0</v>
      </c>
      <c r="Q374" s="269" t="e">
        <f t="shared" si="287"/>
        <v>#DIV/0!</v>
      </c>
      <c r="R374" s="269">
        <f t="shared" si="288"/>
        <v>0</v>
      </c>
      <c r="S374" s="269" t="e">
        <f t="shared" si="289"/>
        <v>#DIV/0!</v>
      </c>
      <c r="T374" s="269" t="e">
        <f t="shared" si="275"/>
        <v>#DIV/0!</v>
      </c>
      <c r="U374" s="234">
        <f t="shared" si="290"/>
        <v>0</v>
      </c>
      <c r="V374" s="232" t="e">
        <f t="shared" si="291"/>
        <v>#DIV/0!</v>
      </c>
      <c r="W374" s="269" t="e">
        <f t="shared" si="292"/>
        <v>#DIV/0!</v>
      </c>
      <c r="X374" s="235">
        <f t="shared" si="270"/>
        <v>0</v>
      </c>
      <c r="Y374" s="236">
        <f t="shared" si="293"/>
        <v>5</v>
      </c>
      <c r="Z374" s="236" t="e">
        <f t="shared" si="294"/>
        <v>#DIV/0!</v>
      </c>
      <c r="AA374" s="236">
        <f t="shared" si="295"/>
        <v>3</v>
      </c>
      <c r="AB374" s="236" t="e">
        <f t="shared" si="296"/>
        <v>#DIV/0!</v>
      </c>
      <c r="AC374" s="235">
        <f t="shared" si="297"/>
        <v>0</v>
      </c>
      <c r="AD374" s="235">
        <f t="shared" si="298"/>
        <v>0</v>
      </c>
      <c r="AE374" s="279">
        <f t="shared" si="299"/>
        <v>0</v>
      </c>
      <c r="AF374" s="232">
        <f t="shared" si="300"/>
        <v>1</v>
      </c>
      <c r="AG374" s="235">
        <f t="shared" si="301"/>
        <v>0</v>
      </c>
      <c r="AH374" s="269">
        <f t="shared" si="302"/>
        <v>0</v>
      </c>
      <c r="AI374" s="232">
        <f t="shared" si="303"/>
        <v>1</v>
      </c>
      <c r="AJ374" s="235">
        <f t="shared" si="304"/>
        <v>0</v>
      </c>
      <c r="AK374" s="269">
        <f t="shared" si="305"/>
        <v>0</v>
      </c>
      <c r="AL374" s="269">
        <f t="shared" si="271"/>
        <v>0</v>
      </c>
      <c r="AM374" s="281" t="e">
        <f>IF(B374&gt;=mpfo,pos*vvm*Dados!$E$122*(ntudv-SUM(U$301:$U375))-SUM($AM$13:AM373),0)</f>
        <v>#DIV/0!</v>
      </c>
      <c r="AN374" s="269" t="e">
        <f t="shared" si="306"/>
        <v>#DIV/0!</v>
      </c>
      <c r="AO374" s="232" t="e">
        <f t="shared" si="307"/>
        <v>#DIV/0!</v>
      </c>
      <c r="AP374" s="242" t="e">
        <f t="shared" si="308"/>
        <v>#DIV/0!</v>
      </c>
      <c r="AQ374" s="235" t="e">
        <f>IF(AP374+SUM($AQ$12:AQ373)&gt;=0,0,-AP374-SUM($AQ$12:AQ373))</f>
        <v>#DIV/0!</v>
      </c>
      <c r="AR374" s="235">
        <f>IF(SUM($N$13:N373)&gt;=pmo,IF(SUM(N373:$N$501)&gt;(1-pmo),B374,0),0)</f>
        <v>0</v>
      </c>
      <c r="AS374" s="235" t="e">
        <f>IF((SUM($U$13:$U373)/ntudv)&gt;=pmv,IF((SUM($U373:$U$501)/ntudv)&gt;(1-pmv),B374,0),0)</f>
        <v>#DIV/0!</v>
      </c>
      <c r="AT374" s="237" t="e">
        <f>IF(MAX(mmo,mmv)=mmo,IF(B374=AR374,(SUM(N$13:$N373)-pmo)/((1-VLOOKUP(MAX(mmo,mmv)-1,$B$13:$O$501,14))+(VLOOKUP(MAX(mmo,mmv)-1,$B$13:$O$501,14)-pmo)),N373/((1-VLOOKUP(MAX(mmo,mmv)-1,$B$13:$O$501,14)+(VLOOKUP(MAX(mmo,mmv)-1,$B$13:$O$501,14)-pmo)))),N373/(1-VLOOKUP(MAX(mmo,mmv)-2,$B$13:$O$501,14)))</f>
        <v>#DIV/0!</v>
      </c>
      <c r="AU374" s="101" t="e">
        <f t="shared" si="272"/>
        <v>#DIV/0!</v>
      </c>
      <c r="AV374" s="287" t="e">
        <f t="shared" si="273"/>
        <v>#DIV/0!</v>
      </c>
      <c r="AW374" s="235" t="e">
        <f t="shared" si="309"/>
        <v>#DIV/0!</v>
      </c>
      <c r="AX374" s="281">
        <f>IF(B374&gt;mpfo,0,IF(B374=mpfo,(vld-teo*(1+tcfo-incc)^(MAX(mmo,mmv)-mbfo))*-1,IF(SUM($N$13:N373)&gt;=pmo,IF(($V373/ntudv)&gt;=pmv,IF(B374=MAX(mmo,mmv),-teo*(1+tcfo-incc)^(B374-mbfo),0),0),0)))</f>
        <v>0</v>
      </c>
      <c r="AY374" s="292" t="e">
        <f t="shared" si="274"/>
        <v>#DIV/0!</v>
      </c>
      <c r="AZ374" s="235" t="e">
        <f t="shared" si="310"/>
        <v>#DIV/0!</v>
      </c>
      <c r="BA374" s="269" t="e">
        <f t="shared" si="311"/>
        <v>#DIV/0!</v>
      </c>
      <c r="BB374" s="292" t="e">
        <f t="shared" si="312"/>
        <v>#DIV/0!</v>
      </c>
      <c r="BC374" s="238" t="e">
        <f>IF(SUM($BC$13:BC373)&gt;0,0,IF(BB374&gt;0,B374,0))</f>
        <v>#DIV/0!</v>
      </c>
      <c r="BD374" s="292" t="e">
        <f>IF(BB374+SUM($BD$12:BD373)&gt;=0,0,-BB374-SUM($BD$12:BD373))</f>
        <v>#DIV/0!</v>
      </c>
      <c r="BE374" s="235" t="e">
        <f>BB374+SUM($BD$12:BD374)</f>
        <v>#DIV/0!</v>
      </c>
      <c r="BF374" s="292" t="e">
        <f>-MIN(BE374:$BE$501)-SUM(BF$12:$BF373)</f>
        <v>#DIV/0!</v>
      </c>
      <c r="BG374" s="235" t="e">
        <f t="shared" si="277"/>
        <v>#DIV/0!</v>
      </c>
    </row>
    <row r="375" spans="2:59">
      <c r="B375" s="120">
        <v>362</v>
      </c>
      <c r="C375" s="241">
        <f t="shared" si="276"/>
        <v>53697</v>
      </c>
      <c r="D375" s="229">
        <f t="shared" si="278"/>
        <v>1</v>
      </c>
      <c r="E375" s="230" t="str">
        <f t="shared" si="279"/>
        <v>-</v>
      </c>
      <c r="F375" s="231">
        <f t="shared" si="280"/>
        <v>0</v>
      </c>
      <c r="G375" s="231">
        <f t="shared" si="281"/>
        <v>0</v>
      </c>
      <c r="H375" s="231">
        <f t="shared" si="282"/>
        <v>0</v>
      </c>
      <c r="I375" s="268">
        <f t="shared" si="267"/>
        <v>0</v>
      </c>
      <c r="J375" s="269">
        <f t="shared" si="283"/>
        <v>0</v>
      </c>
      <c r="K375" s="269">
        <f t="shared" si="284"/>
        <v>0</v>
      </c>
      <c r="L375" s="269">
        <f t="shared" si="268"/>
        <v>0</v>
      </c>
      <c r="M375" s="269">
        <f t="shared" si="269"/>
        <v>0</v>
      </c>
      <c r="N375" s="233">
        <f>VLOOKUP(B375,Dados!$L$86:$P$90,5)</f>
        <v>0</v>
      </c>
      <c r="O375" s="270">
        <f t="shared" si="285"/>
        <v>0.99999999999999989</v>
      </c>
      <c r="P375" s="269">
        <f t="shared" si="286"/>
        <v>0</v>
      </c>
      <c r="Q375" s="269" t="e">
        <f t="shared" si="287"/>
        <v>#DIV/0!</v>
      </c>
      <c r="R375" s="269">
        <f t="shared" si="288"/>
        <v>0</v>
      </c>
      <c r="S375" s="269" t="e">
        <f t="shared" si="289"/>
        <v>#DIV/0!</v>
      </c>
      <c r="T375" s="269" t="e">
        <f t="shared" si="275"/>
        <v>#DIV/0!</v>
      </c>
      <c r="U375" s="234">
        <f t="shared" si="290"/>
        <v>0</v>
      </c>
      <c r="V375" s="232" t="e">
        <f t="shared" si="291"/>
        <v>#DIV/0!</v>
      </c>
      <c r="W375" s="269" t="e">
        <f t="shared" si="292"/>
        <v>#DIV/0!</v>
      </c>
      <c r="X375" s="235">
        <f t="shared" si="270"/>
        <v>0</v>
      </c>
      <c r="Y375" s="236">
        <f t="shared" si="293"/>
        <v>5</v>
      </c>
      <c r="Z375" s="236" t="e">
        <f t="shared" si="294"/>
        <v>#DIV/0!</v>
      </c>
      <c r="AA375" s="236">
        <f t="shared" si="295"/>
        <v>3</v>
      </c>
      <c r="AB375" s="236" t="e">
        <f t="shared" si="296"/>
        <v>#DIV/0!</v>
      </c>
      <c r="AC375" s="235">
        <f t="shared" si="297"/>
        <v>0</v>
      </c>
      <c r="AD375" s="235">
        <f t="shared" si="298"/>
        <v>0</v>
      </c>
      <c r="AE375" s="279">
        <f t="shared" si="299"/>
        <v>0</v>
      </c>
      <c r="AF375" s="232">
        <f t="shared" si="300"/>
        <v>0</v>
      </c>
      <c r="AG375" s="235">
        <f t="shared" si="301"/>
        <v>0</v>
      </c>
      <c r="AH375" s="269">
        <f t="shared" si="302"/>
        <v>0</v>
      </c>
      <c r="AI375" s="232">
        <f t="shared" si="303"/>
        <v>0</v>
      </c>
      <c r="AJ375" s="235">
        <f t="shared" si="304"/>
        <v>0</v>
      </c>
      <c r="AK375" s="269">
        <f t="shared" si="305"/>
        <v>0</v>
      </c>
      <c r="AL375" s="269">
        <f t="shared" si="271"/>
        <v>0</v>
      </c>
      <c r="AM375" s="281" t="e">
        <f>IF(B375&gt;=mpfo,pos*vvm*Dados!$E$122*(ntudv-SUM(U$301:$U376))-SUM($AM$13:AM374),0)</f>
        <v>#DIV/0!</v>
      </c>
      <c r="AN375" s="269" t="e">
        <f t="shared" si="306"/>
        <v>#DIV/0!</v>
      </c>
      <c r="AO375" s="232" t="e">
        <f t="shared" si="307"/>
        <v>#DIV/0!</v>
      </c>
      <c r="AP375" s="242" t="e">
        <f t="shared" si="308"/>
        <v>#DIV/0!</v>
      </c>
      <c r="AQ375" s="235" t="e">
        <f>IF(AP375+SUM($AQ$12:AQ374)&gt;=0,0,-AP375-SUM($AQ$12:AQ374))</f>
        <v>#DIV/0!</v>
      </c>
      <c r="AR375" s="235">
        <f>IF(SUM($N$13:N374)&gt;=pmo,IF(SUM(N374:$N$501)&gt;(1-pmo),B375,0),0)</f>
        <v>0</v>
      </c>
      <c r="AS375" s="235" t="e">
        <f>IF((SUM($U$13:$U374)/ntudv)&gt;=pmv,IF((SUM($U374:$U$501)/ntudv)&gt;(1-pmv),B375,0),0)</f>
        <v>#DIV/0!</v>
      </c>
      <c r="AT375" s="237" t="e">
        <f>IF(MAX(mmo,mmv)=mmo,IF(B375=AR375,(SUM(N$13:$N374)-pmo)/((1-VLOOKUP(MAX(mmo,mmv)-1,$B$13:$O$501,14))+(VLOOKUP(MAX(mmo,mmv)-1,$B$13:$O$501,14)-pmo)),N374/((1-VLOOKUP(MAX(mmo,mmv)-1,$B$13:$O$501,14)+(VLOOKUP(MAX(mmo,mmv)-1,$B$13:$O$501,14)-pmo)))),N374/(1-VLOOKUP(MAX(mmo,mmv)-2,$B$13:$O$501,14)))</f>
        <v>#DIV/0!</v>
      </c>
      <c r="AU375" s="101" t="e">
        <f t="shared" si="272"/>
        <v>#DIV/0!</v>
      </c>
      <c r="AV375" s="287" t="e">
        <f t="shared" si="273"/>
        <v>#DIV/0!</v>
      </c>
      <c r="AW375" s="235" t="e">
        <f t="shared" si="309"/>
        <v>#DIV/0!</v>
      </c>
      <c r="AX375" s="281">
        <f>IF(B375&gt;mpfo,0,IF(B375=mpfo,(vld-teo*(1+tcfo-incc)^(MAX(mmo,mmv)-mbfo))*-1,IF(SUM($N$13:N374)&gt;=pmo,IF(($V374/ntudv)&gt;=pmv,IF(B375=MAX(mmo,mmv),-teo*(1+tcfo-incc)^(B375-mbfo),0),0),0)))</f>
        <v>0</v>
      </c>
      <c r="AY375" s="292" t="e">
        <f t="shared" si="274"/>
        <v>#DIV/0!</v>
      </c>
      <c r="AZ375" s="235" t="e">
        <f t="shared" si="310"/>
        <v>#DIV/0!</v>
      </c>
      <c r="BA375" s="269" t="e">
        <f t="shared" si="311"/>
        <v>#DIV/0!</v>
      </c>
      <c r="BB375" s="292" t="e">
        <f t="shared" si="312"/>
        <v>#DIV/0!</v>
      </c>
      <c r="BC375" s="238" t="e">
        <f>IF(SUM($BC$13:BC374)&gt;0,0,IF(BB375&gt;0,B375,0))</f>
        <v>#DIV/0!</v>
      </c>
      <c r="BD375" s="292" t="e">
        <f>IF(BB375+SUM($BD$12:BD374)&gt;=0,0,-BB375-SUM($BD$12:BD374))</f>
        <v>#DIV/0!</v>
      </c>
      <c r="BE375" s="235" t="e">
        <f>BB375+SUM($BD$12:BD375)</f>
        <v>#DIV/0!</v>
      </c>
      <c r="BF375" s="292" t="e">
        <f>-MIN(BE375:$BE$501)-SUM(BF$12:$BF374)</f>
        <v>#DIV/0!</v>
      </c>
      <c r="BG375" s="235" t="e">
        <f t="shared" si="277"/>
        <v>#DIV/0!</v>
      </c>
    </row>
    <row r="376" spans="2:59">
      <c r="B376" s="246">
        <v>363</v>
      </c>
      <c r="C376" s="241">
        <f t="shared" si="276"/>
        <v>53728</v>
      </c>
      <c r="D376" s="229">
        <f t="shared" si="278"/>
        <v>2</v>
      </c>
      <c r="E376" s="230" t="str">
        <f t="shared" si="279"/>
        <v>-</v>
      </c>
      <c r="F376" s="231">
        <f t="shared" si="280"/>
        <v>0</v>
      </c>
      <c r="G376" s="231">
        <f t="shared" si="281"/>
        <v>0</v>
      </c>
      <c r="H376" s="231">
        <f t="shared" si="282"/>
        <v>0</v>
      </c>
      <c r="I376" s="268">
        <f t="shared" si="267"/>
        <v>0</v>
      </c>
      <c r="J376" s="269">
        <f t="shared" si="283"/>
        <v>0</v>
      </c>
      <c r="K376" s="269">
        <f t="shared" si="284"/>
        <v>0</v>
      </c>
      <c r="L376" s="269">
        <f t="shared" si="268"/>
        <v>0</v>
      </c>
      <c r="M376" s="269">
        <f t="shared" si="269"/>
        <v>0</v>
      </c>
      <c r="N376" s="233">
        <f>VLOOKUP(B376,Dados!$L$86:$P$90,5)</f>
        <v>0</v>
      </c>
      <c r="O376" s="270">
        <f t="shared" si="285"/>
        <v>0.99999999999999989</v>
      </c>
      <c r="P376" s="269">
        <f t="shared" si="286"/>
        <v>0</v>
      </c>
      <c r="Q376" s="269" t="e">
        <f t="shared" si="287"/>
        <v>#DIV/0!</v>
      </c>
      <c r="R376" s="269">
        <f t="shared" si="288"/>
        <v>0</v>
      </c>
      <c r="S376" s="269" t="e">
        <f t="shared" si="289"/>
        <v>#DIV/0!</v>
      </c>
      <c r="T376" s="269" t="e">
        <f t="shared" si="275"/>
        <v>#DIV/0!</v>
      </c>
      <c r="U376" s="234">
        <f t="shared" si="290"/>
        <v>0</v>
      </c>
      <c r="V376" s="232" t="e">
        <f t="shared" si="291"/>
        <v>#DIV/0!</v>
      </c>
      <c r="W376" s="269" t="e">
        <f t="shared" si="292"/>
        <v>#DIV/0!</v>
      </c>
      <c r="X376" s="235">
        <f t="shared" si="270"/>
        <v>0</v>
      </c>
      <c r="Y376" s="236">
        <f t="shared" si="293"/>
        <v>5</v>
      </c>
      <c r="Z376" s="236" t="e">
        <f t="shared" si="294"/>
        <v>#DIV/0!</v>
      </c>
      <c r="AA376" s="236">
        <f t="shared" si="295"/>
        <v>3</v>
      </c>
      <c r="AB376" s="236" t="e">
        <f t="shared" si="296"/>
        <v>#DIV/0!</v>
      </c>
      <c r="AC376" s="235">
        <f t="shared" si="297"/>
        <v>0</v>
      </c>
      <c r="AD376" s="235">
        <f t="shared" si="298"/>
        <v>0</v>
      </c>
      <c r="AE376" s="279">
        <f t="shared" si="299"/>
        <v>0</v>
      </c>
      <c r="AF376" s="232">
        <f t="shared" si="300"/>
        <v>0</v>
      </c>
      <c r="AG376" s="235">
        <f t="shared" si="301"/>
        <v>0</v>
      </c>
      <c r="AH376" s="269">
        <f t="shared" si="302"/>
        <v>0</v>
      </c>
      <c r="AI376" s="232">
        <f t="shared" si="303"/>
        <v>0</v>
      </c>
      <c r="AJ376" s="235">
        <f t="shared" si="304"/>
        <v>0</v>
      </c>
      <c r="AK376" s="269">
        <f t="shared" si="305"/>
        <v>0</v>
      </c>
      <c r="AL376" s="269">
        <f t="shared" si="271"/>
        <v>0</v>
      </c>
      <c r="AM376" s="281" t="e">
        <f>IF(B376&gt;=mpfo,pos*vvm*Dados!$E$122*(ntudv-SUM(U$301:$U377))-SUM($AM$13:AM375),0)</f>
        <v>#DIV/0!</v>
      </c>
      <c r="AN376" s="269" t="e">
        <f t="shared" si="306"/>
        <v>#DIV/0!</v>
      </c>
      <c r="AO376" s="232" t="e">
        <f t="shared" si="307"/>
        <v>#DIV/0!</v>
      </c>
      <c r="AP376" s="242" t="e">
        <f t="shared" si="308"/>
        <v>#DIV/0!</v>
      </c>
      <c r="AQ376" s="235" t="e">
        <f>IF(AP376+SUM($AQ$12:AQ375)&gt;=0,0,-AP376-SUM($AQ$12:AQ375))</f>
        <v>#DIV/0!</v>
      </c>
      <c r="AR376" s="235">
        <f>IF(SUM($N$13:N375)&gt;=pmo,IF(SUM(N375:$N$501)&gt;(1-pmo),B376,0),0)</f>
        <v>0</v>
      </c>
      <c r="AS376" s="235" t="e">
        <f>IF((SUM($U$13:$U375)/ntudv)&gt;=pmv,IF((SUM($U375:$U$501)/ntudv)&gt;(1-pmv),B376,0),0)</f>
        <v>#DIV/0!</v>
      </c>
      <c r="AT376" s="237" t="e">
        <f>IF(MAX(mmo,mmv)=mmo,IF(B376=AR376,(SUM(N$13:$N375)-pmo)/((1-VLOOKUP(MAX(mmo,mmv)-1,$B$13:$O$501,14))+(VLOOKUP(MAX(mmo,mmv)-1,$B$13:$O$501,14)-pmo)),N375/((1-VLOOKUP(MAX(mmo,mmv)-1,$B$13:$O$501,14)+(VLOOKUP(MAX(mmo,mmv)-1,$B$13:$O$501,14)-pmo)))),N375/(1-VLOOKUP(MAX(mmo,mmv)-2,$B$13:$O$501,14)))</f>
        <v>#DIV/0!</v>
      </c>
      <c r="AU376" s="101" t="e">
        <f t="shared" si="272"/>
        <v>#DIV/0!</v>
      </c>
      <c r="AV376" s="287" t="e">
        <f t="shared" si="273"/>
        <v>#DIV/0!</v>
      </c>
      <c r="AW376" s="235" t="e">
        <f t="shared" si="309"/>
        <v>#DIV/0!</v>
      </c>
      <c r="AX376" s="281">
        <f>IF(B376&gt;mpfo,0,IF(B376=mpfo,(vld-teo*(1+tcfo-incc)^(MAX(mmo,mmv)-mbfo))*-1,IF(SUM($N$13:N375)&gt;=pmo,IF(($V375/ntudv)&gt;=pmv,IF(B376=MAX(mmo,mmv),-teo*(1+tcfo-incc)^(B376-mbfo),0),0),0)))</f>
        <v>0</v>
      </c>
      <c r="AY376" s="292" t="e">
        <f t="shared" si="274"/>
        <v>#DIV/0!</v>
      </c>
      <c r="AZ376" s="235" t="e">
        <f t="shared" si="310"/>
        <v>#DIV/0!</v>
      </c>
      <c r="BA376" s="269" t="e">
        <f t="shared" si="311"/>
        <v>#DIV/0!</v>
      </c>
      <c r="BB376" s="292" t="e">
        <f t="shared" si="312"/>
        <v>#DIV/0!</v>
      </c>
      <c r="BC376" s="238" t="e">
        <f>IF(SUM($BC$13:BC375)&gt;0,0,IF(BB376&gt;0,B376,0))</f>
        <v>#DIV/0!</v>
      </c>
      <c r="BD376" s="292" t="e">
        <f>IF(BB376+SUM($BD$12:BD375)&gt;=0,0,-BB376-SUM($BD$12:BD375))</f>
        <v>#DIV/0!</v>
      </c>
      <c r="BE376" s="235" t="e">
        <f>BB376+SUM($BD$12:BD376)</f>
        <v>#DIV/0!</v>
      </c>
      <c r="BF376" s="292" t="e">
        <f>-MIN(BE376:$BE$501)-SUM(BF$12:$BF375)</f>
        <v>#DIV/0!</v>
      </c>
      <c r="BG376" s="235" t="e">
        <f t="shared" si="277"/>
        <v>#DIV/0!</v>
      </c>
    </row>
    <row r="377" spans="2:59">
      <c r="B377" s="120">
        <v>364</v>
      </c>
      <c r="C377" s="241">
        <f t="shared" si="276"/>
        <v>53756</v>
      </c>
      <c r="D377" s="229">
        <f t="shared" si="278"/>
        <v>3</v>
      </c>
      <c r="E377" s="230" t="str">
        <f t="shared" si="279"/>
        <v>-</v>
      </c>
      <c r="F377" s="231">
        <f t="shared" si="280"/>
        <v>0</v>
      </c>
      <c r="G377" s="231">
        <f t="shared" si="281"/>
        <v>0</v>
      </c>
      <c r="H377" s="231">
        <f t="shared" si="282"/>
        <v>0</v>
      </c>
      <c r="I377" s="268">
        <f t="shared" si="267"/>
        <v>0</v>
      </c>
      <c r="J377" s="269">
        <f t="shared" si="283"/>
        <v>0</v>
      </c>
      <c r="K377" s="269">
        <f t="shared" si="284"/>
        <v>0</v>
      </c>
      <c r="L377" s="269">
        <f t="shared" si="268"/>
        <v>0</v>
      </c>
      <c r="M377" s="269">
        <f t="shared" si="269"/>
        <v>0</v>
      </c>
      <c r="N377" s="233">
        <f>VLOOKUP(B377,Dados!$L$86:$P$90,5)</f>
        <v>0</v>
      </c>
      <c r="O377" s="270">
        <f t="shared" si="285"/>
        <v>0.99999999999999989</v>
      </c>
      <c r="P377" s="269">
        <f t="shared" si="286"/>
        <v>0</v>
      </c>
      <c r="Q377" s="269" t="e">
        <f t="shared" si="287"/>
        <v>#DIV/0!</v>
      </c>
      <c r="R377" s="269">
        <f t="shared" si="288"/>
        <v>0</v>
      </c>
      <c r="S377" s="269" t="e">
        <f t="shared" si="289"/>
        <v>#DIV/0!</v>
      </c>
      <c r="T377" s="269" t="e">
        <f t="shared" si="275"/>
        <v>#DIV/0!</v>
      </c>
      <c r="U377" s="234">
        <f t="shared" si="290"/>
        <v>0</v>
      </c>
      <c r="V377" s="232" t="e">
        <f t="shared" si="291"/>
        <v>#DIV/0!</v>
      </c>
      <c r="W377" s="269" t="e">
        <f t="shared" si="292"/>
        <v>#DIV/0!</v>
      </c>
      <c r="X377" s="235">
        <f t="shared" si="270"/>
        <v>0</v>
      </c>
      <c r="Y377" s="236">
        <f t="shared" si="293"/>
        <v>5</v>
      </c>
      <c r="Z377" s="236" t="e">
        <f t="shared" si="294"/>
        <v>#DIV/0!</v>
      </c>
      <c r="AA377" s="236">
        <f t="shared" si="295"/>
        <v>3</v>
      </c>
      <c r="AB377" s="236" t="e">
        <f t="shared" si="296"/>
        <v>#DIV/0!</v>
      </c>
      <c r="AC377" s="235">
        <f t="shared" si="297"/>
        <v>0</v>
      </c>
      <c r="AD377" s="235">
        <f t="shared" si="298"/>
        <v>0</v>
      </c>
      <c r="AE377" s="279">
        <f t="shared" si="299"/>
        <v>0</v>
      </c>
      <c r="AF377" s="232">
        <f t="shared" si="300"/>
        <v>0</v>
      </c>
      <c r="AG377" s="235">
        <f t="shared" si="301"/>
        <v>0</v>
      </c>
      <c r="AH377" s="269">
        <f t="shared" si="302"/>
        <v>0</v>
      </c>
      <c r="AI377" s="232">
        <f t="shared" si="303"/>
        <v>0</v>
      </c>
      <c r="AJ377" s="235">
        <f t="shared" si="304"/>
        <v>0</v>
      </c>
      <c r="AK377" s="269">
        <f t="shared" si="305"/>
        <v>0</v>
      </c>
      <c r="AL377" s="269">
        <f t="shared" si="271"/>
        <v>0</v>
      </c>
      <c r="AM377" s="281" t="e">
        <f>IF(B377&gt;=mpfo,pos*vvm*Dados!$E$122*(ntudv-SUM(U$301:$U378))-SUM($AM$13:AM376),0)</f>
        <v>#DIV/0!</v>
      </c>
      <c r="AN377" s="269" t="e">
        <f t="shared" si="306"/>
        <v>#DIV/0!</v>
      </c>
      <c r="AO377" s="232" t="e">
        <f t="shared" si="307"/>
        <v>#DIV/0!</v>
      </c>
      <c r="AP377" s="242" t="e">
        <f t="shared" si="308"/>
        <v>#DIV/0!</v>
      </c>
      <c r="AQ377" s="235" t="e">
        <f>IF(AP377+SUM($AQ$12:AQ376)&gt;=0,0,-AP377-SUM($AQ$12:AQ376))</f>
        <v>#DIV/0!</v>
      </c>
      <c r="AR377" s="235">
        <f>IF(SUM($N$13:N376)&gt;=pmo,IF(SUM(N376:$N$501)&gt;(1-pmo),B377,0),0)</f>
        <v>0</v>
      </c>
      <c r="AS377" s="235" t="e">
        <f>IF((SUM($U$13:$U376)/ntudv)&gt;=pmv,IF((SUM($U376:$U$501)/ntudv)&gt;(1-pmv),B377,0),0)</f>
        <v>#DIV/0!</v>
      </c>
      <c r="AT377" s="237" t="e">
        <f>IF(MAX(mmo,mmv)=mmo,IF(B377=AR377,(SUM(N$13:$N376)-pmo)/((1-VLOOKUP(MAX(mmo,mmv)-1,$B$13:$O$501,14))+(VLOOKUP(MAX(mmo,mmv)-1,$B$13:$O$501,14)-pmo)),N376/((1-VLOOKUP(MAX(mmo,mmv)-1,$B$13:$O$501,14)+(VLOOKUP(MAX(mmo,mmv)-1,$B$13:$O$501,14)-pmo)))),N376/(1-VLOOKUP(MAX(mmo,mmv)-2,$B$13:$O$501,14)))</f>
        <v>#DIV/0!</v>
      </c>
      <c r="AU377" s="101" t="e">
        <f t="shared" si="272"/>
        <v>#DIV/0!</v>
      </c>
      <c r="AV377" s="287" t="e">
        <f t="shared" si="273"/>
        <v>#DIV/0!</v>
      </c>
      <c r="AW377" s="235" t="e">
        <f t="shared" si="309"/>
        <v>#DIV/0!</v>
      </c>
      <c r="AX377" s="281">
        <f>IF(B377&gt;mpfo,0,IF(B377=mpfo,(vld-teo*(1+tcfo-incc)^(MAX(mmo,mmv)-mbfo))*-1,IF(SUM($N$13:N376)&gt;=pmo,IF(($V376/ntudv)&gt;=pmv,IF(B377=MAX(mmo,mmv),-teo*(1+tcfo-incc)^(B377-mbfo),0),0),0)))</f>
        <v>0</v>
      </c>
      <c r="AY377" s="292" t="e">
        <f t="shared" si="274"/>
        <v>#DIV/0!</v>
      </c>
      <c r="AZ377" s="235" t="e">
        <f t="shared" si="310"/>
        <v>#DIV/0!</v>
      </c>
      <c r="BA377" s="269" t="e">
        <f t="shared" si="311"/>
        <v>#DIV/0!</v>
      </c>
      <c r="BB377" s="292" t="e">
        <f t="shared" si="312"/>
        <v>#DIV/0!</v>
      </c>
      <c r="BC377" s="238" t="e">
        <f>IF(SUM($BC$13:BC376)&gt;0,0,IF(BB377&gt;0,B377,0))</f>
        <v>#DIV/0!</v>
      </c>
      <c r="BD377" s="292" t="e">
        <f>IF(BB377+SUM($BD$12:BD376)&gt;=0,0,-BB377-SUM($BD$12:BD376))</f>
        <v>#DIV/0!</v>
      </c>
      <c r="BE377" s="235" t="e">
        <f>BB377+SUM($BD$12:BD377)</f>
        <v>#DIV/0!</v>
      </c>
      <c r="BF377" s="292" t="e">
        <f>-MIN(BE377:$BE$501)-SUM(BF$12:$BF376)</f>
        <v>#DIV/0!</v>
      </c>
      <c r="BG377" s="235" t="e">
        <f t="shared" si="277"/>
        <v>#DIV/0!</v>
      </c>
    </row>
    <row r="378" spans="2:59">
      <c r="B378" s="246">
        <v>365</v>
      </c>
      <c r="C378" s="241">
        <f t="shared" si="276"/>
        <v>53787</v>
      </c>
      <c r="D378" s="229">
        <f t="shared" si="278"/>
        <v>4</v>
      </c>
      <c r="E378" s="230" t="str">
        <f t="shared" si="279"/>
        <v>-</v>
      </c>
      <c r="F378" s="231">
        <f t="shared" si="280"/>
        <v>0</v>
      </c>
      <c r="G378" s="231">
        <f t="shared" si="281"/>
        <v>0</v>
      </c>
      <c r="H378" s="231">
        <f t="shared" si="282"/>
        <v>0</v>
      </c>
      <c r="I378" s="268">
        <f t="shared" si="267"/>
        <v>0</v>
      </c>
      <c r="J378" s="269">
        <f t="shared" si="283"/>
        <v>0</v>
      </c>
      <c r="K378" s="269">
        <f t="shared" si="284"/>
        <v>0</v>
      </c>
      <c r="L378" s="269">
        <f t="shared" si="268"/>
        <v>0</v>
      </c>
      <c r="M378" s="269">
        <f t="shared" si="269"/>
        <v>0</v>
      </c>
      <c r="N378" s="233">
        <f>VLOOKUP(B378,Dados!$L$86:$P$90,5)</f>
        <v>0</v>
      </c>
      <c r="O378" s="270">
        <f t="shared" si="285"/>
        <v>0.99999999999999989</v>
      </c>
      <c r="P378" s="269">
        <f t="shared" si="286"/>
        <v>0</v>
      </c>
      <c r="Q378" s="269" t="e">
        <f t="shared" si="287"/>
        <v>#DIV/0!</v>
      </c>
      <c r="R378" s="269">
        <f t="shared" si="288"/>
        <v>0</v>
      </c>
      <c r="S378" s="269" t="e">
        <f t="shared" si="289"/>
        <v>#DIV/0!</v>
      </c>
      <c r="T378" s="269" t="e">
        <f t="shared" si="275"/>
        <v>#DIV/0!</v>
      </c>
      <c r="U378" s="234">
        <f t="shared" si="290"/>
        <v>0</v>
      </c>
      <c r="V378" s="232" t="e">
        <f t="shared" si="291"/>
        <v>#DIV/0!</v>
      </c>
      <c r="W378" s="269" t="e">
        <f t="shared" si="292"/>
        <v>#DIV/0!</v>
      </c>
      <c r="X378" s="235">
        <f t="shared" si="270"/>
        <v>0</v>
      </c>
      <c r="Y378" s="236">
        <f t="shared" si="293"/>
        <v>5</v>
      </c>
      <c r="Z378" s="236" t="e">
        <f t="shared" si="294"/>
        <v>#DIV/0!</v>
      </c>
      <c r="AA378" s="236">
        <f t="shared" si="295"/>
        <v>3</v>
      </c>
      <c r="AB378" s="236" t="e">
        <f t="shared" si="296"/>
        <v>#DIV/0!</v>
      </c>
      <c r="AC378" s="235">
        <f t="shared" si="297"/>
        <v>0</v>
      </c>
      <c r="AD378" s="235">
        <f t="shared" si="298"/>
        <v>0</v>
      </c>
      <c r="AE378" s="279">
        <f t="shared" si="299"/>
        <v>0</v>
      </c>
      <c r="AF378" s="232">
        <f t="shared" si="300"/>
        <v>0</v>
      </c>
      <c r="AG378" s="235">
        <f t="shared" si="301"/>
        <v>0</v>
      </c>
      <c r="AH378" s="269">
        <f t="shared" si="302"/>
        <v>0</v>
      </c>
      <c r="AI378" s="232">
        <f t="shared" si="303"/>
        <v>0</v>
      </c>
      <c r="AJ378" s="235">
        <f t="shared" si="304"/>
        <v>0</v>
      </c>
      <c r="AK378" s="269">
        <f t="shared" si="305"/>
        <v>0</v>
      </c>
      <c r="AL378" s="269">
        <f t="shared" si="271"/>
        <v>0</v>
      </c>
      <c r="AM378" s="281" t="e">
        <f>IF(B378&gt;=mpfo,pos*vvm*Dados!$E$122*(ntudv-SUM(U$301:$U379))-SUM($AM$13:AM377),0)</f>
        <v>#DIV/0!</v>
      </c>
      <c r="AN378" s="269" t="e">
        <f t="shared" si="306"/>
        <v>#DIV/0!</v>
      </c>
      <c r="AO378" s="232" t="e">
        <f t="shared" si="307"/>
        <v>#DIV/0!</v>
      </c>
      <c r="AP378" s="242" t="e">
        <f t="shared" si="308"/>
        <v>#DIV/0!</v>
      </c>
      <c r="AQ378" s="235" t="e">
        <f>IF(AP378+SUM($AQ$12:AQ377)&gt;=0,0,-AP378-SUM($AQ$12:AQ377))</f>
        <v>#DIV/0!</v>
      </c>
      <c r="AR378" s="235">
        <f>IF(SUM($N$13:N377)&gt;=pmo,IF(SUM(N377:$N$501)&gt;(1-pmo),B378,0),0)</f>
        <v>0</v>
      </c>
      <c r="AS378" s="235" t="e">
        <f>IF((SUM($U$13:$U377)/ntudv)&gt;=pmv,IF((SUM($U377:$U$501)/ntudv)&gt;(1-pmv),B378,0),0)</f>
        <v>#DIV/0!</v>
      </c>
      <c r="AT378" s="237" t="e">
        <f>IF(MAX(mmo,mmv)=mmo,IF(B378=AR378,(SUM(N$13:$N377)-pmo)/((1-VLOOKUP(MAX(mmo,mmv)-1,$B$13:$O$501,14))+(VLOOKUP(MAX(mmo,mmv)-1,$B$13:$O$501,14)-pmo)),N377/((1-VLOOKUP(MAX(mmo,mmv)-1,$B$13:$O$501,14)+(VLOOKUP(MAX(mmo,mmv)-1,$B$13:$O$501,14)-pmo)))),N377/(1-VLOOKUP(MAX(mmo,mmv)-2,$B$13:$O$501,14)))</f>
        <v>#DIV/0!</v>
      </c>
      <c r="AU378" s="101" t="e">
        <f t="shared" si="272"/>
        <v>#DIV/0!</v>
      </c>
      <c r="AV378" s="287" t="e">
        <f t="shared" si="273"/>
        <v>#DIV/0!</v>
      </c>
      <c r="AW378" s="235" t="e">
        <f t="shared" si="309"/>
        <v>#DIV/0!</v>
      </c>
      <c r="AX378" s="281">
        <f>IF(B378&gt;mpfo,0,IF(B378=mpfo,(vld-teo*(1+tcfo-incc)^(MAX(mmo,mmv)-mbfo))*-1,IF(SUM($N$13:N377)&gt;=pmo,IF(($V377/ntudv)&gt;=pmv,IF(B378=MAX(mmo,mmv),-teo*(1+tcfo-incc)^(B378-mbfo),0),0),0)))</f>
        <v>0</v>
      </c>
      <c r="AY378" s="292" t="e">
        <f t="shared" si="274"/>
        <v>#DIV/0!</v>
      </c>
      <c r="AZ378" s="235" t="e">
        <f t="shared" si="310"/>
        <v>#DIV/0!</v>
      </c>
      <c r="BA378" s="269" t="e">
        <f t="shared" si="311"/>
        <v>#DIV/0!</v>
      </c>
      <c r="BB378" s="292" t="e">
        <f t="shared" si="312"/>
        <v>#DIV/0!</v>
      </c>
      <c r="BC378" s="238" t="e">
        <f>IF(SUM($BC$13:BC377)&gt;0,0,IF(BB378&gt;0,B378,0))</f>
        <v>#DIV/0!</v>
      </c>
      <c r="BD378" s="292" t="e">
        <f>IF(BB378+SUM($BD$12:BD377)&gt;=0,0,-BB378-SUM($BD$12:BD377))</f>
        <v>#DIV/0!</v>
      </c>
      <c r="BE378" s="235" t="e">
        <f>BB378+SUM($BD$12:BD378)</f>
        <v>#DIV/0!</v>
      </c>
      <c r="BF378" s="292" t="e">
        <f>-MIN(BE378:$BE$501)-SUM(BF$12:$BF377)</f>
        <v>#DIV/0!</v>
      </c>
      <c r="BG378" s="235" t="e">
        <f t="shared" si="277"/>
        <v>#DIV/0!</v>
      </c>
    </row>
    <row r="379" spans="2:59">
      <c r="B379" s="120">
        <v>366</v>
      </c>
      <c r="C379" s="241">
        <f t="shared" si="276"/>
        <v>53817</v>
      </c>
      <c r="D379" s="229">
        <f t="shared" si="278"/>
        <v>5</v>
      </c>
      <c r="E379" s="230" t="str">
        <f t="shared" si="279"/>
        <v>-</v>
      </c>
      <c r="F379" s="231">
        <f t="shared" si="280"/>
        <v>0</v>
      </c>
      <c r="G379" s="231">
        <f t="shared" si="281"/>
        <v>0</v>
      </c>
      <c r="H379" s="231">
        <f t="shared" si="282"/>
        <v>0</v>
      </c>
      <c r="I379" s="268">
        <f t="shared" si="267"/>
        <v>0</v>
      </c>
      <c r="J379" s="269">
        <f t="shared" si="283"/>
        <v>0</v>
      </c>
      <c r="K379" s="269">
        <f t="shared" si="284"/>
        <v>0</v>
      </c>
      <c r="L379" s="269">
        <f t="shared" si="268"/>
        <v>0</v>
      </c>
      <c r="M379" s="269">
        <f t="shared" si="269"/>
        <v>0</v>
      </c>
      <c r="N379" s="233">
        <f>VLOOKUP(B379,Dados!$L$86:$P$90,5)</f>
        <v>0</v>
      </c>
      <c r="O379" s="270">
        <f t="shared" si="285"/>
        <v>0.99999999999999989</v>
      </c>
      <c r="P379" s="269">
        <f t="shared" si="286"/>
        <v>0</v>
      </c>
      <c r="Q379" s="269" t="e">
        <f t="shared" si="287"/>
        <v>#DIV/0!</v>
      </c>
      <c r="R379" s="269">
        <f t="shared" si="288"/>
        <v>0</v>
      </c>
      <c r="S379" s="269" t="e">
        <f t="shared" si="289"/>
        <v>#DIV/0!</v>
      </c>
      <c r="T379" s="269" t="e">
        <f t="shared" si="275"/>
        <v>#DIV/0!</v>
      </c>
      <c r="U379" s="234">
        <f t="shared" si="290"/>
        <v>0</v>
      </c>
      <c r="V379" s="232" t="e">
        <f t="shared" si="291"/>
        <v>#DIV/0!</v>
      </c>
      <c r="W379" s="269" t="e">
        <f t="shared" si="292"/>
        <v>#DIV/0!</v>
      </c>
      <c r="X379" s="235">
        <f t="shared" si="270"/>
        <v>0</v>
      </c>
      <c r="Y379" s="236">
        <f t="shared" si="293"/>
        <v>5</v>
      </c>
      <c r="Z379" s="236" t="e">
        <f t="shared" si="294"/>
        <v>#DIV/0!</v>
      </c>
      <c r="AA379" s="236">
        <f t="shared" si="295"/>
        <v>3</v>
      </c>
      <c r="AB379" s="236" t="e">
        <f t="shared" si="296"/>
        <v>#DIV/0!</v>
      </c>
      <c r="AC379" s="235">
        <f t="shared" si="297"/>
        <v>0</v>
      </c>
      <c r="AD379" s="235">
        <f t="shared" si="298"/>
        <v>0</v>
      </c>
      <c r="AE379" s="279">
        <f t="shared" si="299"/>
        <v>0</v>
      </c>
      <c r="AF379" s="232">
        <f t="shared" si="300"/>
        <v>0</v>
      </c>
      <c r="AG379" s="235">
        <f t="shared" si="301"/>
        <v>0</v>
      </c>
      <c r="AH379" s="269">
        <f t="shared" si="302"/>
        <v>0</v>
      </c>
      <c r="AI379" s="232">
        <f t="shared" si="303"/>
        <v>0</v>
      </c>
      <c r="AJ379" s="235">
        <f t="shared" si="304"/>
        <v>0</v>
      </c>
      <c r="AK379" s="269">
        <f t="shared" si="305"/>
        <v>0</v>
      </c>
      <c r="AL379" s="269">
        <f t="shared" si="271"/>
        <v>0</v>
      </c>
      <c r="AM379" s="281" t="e">
        <f>IF(B379&gt;=mpfo,pos*vvm*Dados!$E$122*(ntudv-SUM(U$301:$U380))-SUM($AM$13:AM378),0)</f>
        <v>#DIV/0!</v>
      </c>
      <c r="AN379" s="269" t="e">
        <f t="shared" si="306"/>
        <v>#DIV/0!</v>
      </c>
      <c r="AO379" s="232" t="e">
        <f t="shared" si="307"/>
        <v>#DIV/0!</v>
      </c>
      <c r="AP379" s="242" t="e">
        <f t="shared" si="308"/>
        <v>#DIV/0!</v>
      </c>
      <c r="AQ379" s="235" t="e">
        <f>IF(AP379+SUM($AQ$12:AQ378)&gt;=0,0,-AP379-SUM($AQ$12:AQ378))</f>
        <v>#DIV/0!</v>
      </c>
      <c r="AR379" s="235">
        <f>IF(SUM($N$13:N378)&gt;=pmo,IF(SUM(N378:$N$501)&gt;(1-pmo),B379,0),0)</f>
        <v>0</v>
      </c>
      <c r="AS379" s="235" t="e">
        <f>IF((SUM($U$13:$U378)/ntudv)&gt;=pmv,IF((SUM($U378:$U$501)/ntudv)&gt;(1-pmv),B379,0),0)</f>
        <v>#DIV/0!</v>
      </c>
      <c r="AT379" s="237" t="e">
        <f>IF(MAX(mmo,mmv)=mmo,IF(B379=AR379,(SUM(N$13:$N378)-pmo)/((1-VLOOKUP(MAX(mmo,mmv)-1,$B$13:$O$501,14))+(VLOOKUP(MAX(mmo,mmv)-1,$B$13:$O$501,14)-pmo)),N378/((1-VLOOKUP(MAX(mmo,mmv)-1,$B$13:$O$501,14)+(VLOOKUP(MAX(mmo,mmv)-1,$B$13:$O$501,14)-pmo)))),N378/(1-VLOOKUP(MAX(mmo,mmv)-2,$B$13:$O$501,14)))</f>
        <v>#DIV/0!</v>
      </c>
      <c r="AU379" s="101" t="e">
        <f t="shared" si="272"/>
        <v>#DIV/0!</v>
      </c>
      <c r="AV379" s="287" t="e">
        <f t="shared" si="273"/>
        <v>#DIV/0!</v>
      </c>
      <c r="AW379" s="235" t="e">
        <f t="shared" si="309"/>
        <v>#DIV/0!</v>
      </c>
      <c r="AX379" s="281">
        <f>IF(B379&gt;mpfo,0,IF(B379=mpfo,(vld-teo*(1+tcfo-incc)^(MAX(mmo,mmv)-mbfo))*-1,IF(SUM($N$13:N378)&gt;=pmo,IF(($V378/ntudv)&gt;=pmv,IF(B379=MAX(mmo,mmv),-teo*(1+tcfo-incc)^(B379-mbfo),0),0),0)))</f>
        <v>0</v>
      </c>
      <c r="AY379" s="292" t="e">
        <f t="shared" si="274"/>
        <v>#DIV/0!</v>
      </c>
      <c r="AZ379" s="235" t="e">
        <f t="shared" si="310"/>
        <v>#DIV/0!</v>
      </c>
      <c r="BA379" s="269" t="e">
        <f t="shared" si="311"/>
        <v>#DIV/0!</v>
      </c>
      <c r="BB379" s="292" t="e">
        <f t="shared" si="312"/>
        <v>#DIV/0!</v>
      </c>
      <c r="BC379" s="238" t="e">
        <f>IF(SUM($BC$13:BC378)&gt;0,0,IF(BB379&gt;0,B379,0))</f>
        <v>#DIV/0!</v>
      </c>
      <c r="BD379" s="292" t="e">
        <f>IF(BB379+SUM($BD$12:BD378)&gt;=0,0,-BB379-SUM($BD$12:BD378))</f>
        <v>#DIV/0!</v>
      </c>
      <c r="BE379" s="235" t="e">
        <f>BB379+SUM($BD$12:BD379)</f>
        <v>#DIV/0!</v>
      </c>
      <c r="BF379" s="292" t="e">
        <f>-MIN(BE379:$BE$501)-SUM(BF$12:$BF378)</f>
        <v>#DIV/0!</v>
      </c>
      <c r="BG379" s="235" t="e">
        <f t="shared" si="277"/>
        <v>#DIV/0!</v>
      </c>
    </row>
    <row r="380" spans="2:59">
      <c r="B380" s="246">
        <v>367</v>
      </c>
      <c r="C380" s="241">
        <f t="shared" si="276"/>
        <v>53848</v>
      </c>
      <c r="D380" s="229">
        <f t="shared" si="278"/>
        <v>6</v>
      </c>
      <c r="E380" s="230" t="str">
        <f t="shared" si="279"/>
        <v>-</v>
      </c>
      <c r="F380" s="231">
        <f t="shared" si="280"/>
        <v>0</v>
      </c>
      <c r="G380" s="231">
        <f t="shared" si="281"/>
        <v>0</v>
      </c>
      <c r="H380" s="231">
        <f t="shared" si="282"/>
        <v>0</v>
      </c>
      <c r="I380" s="268">
        <f t="shared" si="267"/>
        <v>0</v>
      </c>
      <c r="J380" s="269">
        <f t="shared" si="283"/>
        <v>0</v>
      </c>
      <c r="K380" s="269">
        <f t="shared" si="284"/>
        <v>0</v>
      </c>
      <c r="L380" s="269">
        <f t="shared" si="268"/>
        <v>0</v>
      </c>
      <c r="M380" s="269">
        <f t="shared" si="269"/>
        <v>0</v>
      </c>
      <c r="N380" s="233">
        <f>VLOOKUP(B380,Dados!$L$86:$P$90,5)</f>
        <v>0</v>
      </c>
      <c r="O380" s="270">
        <f t="shared" si="285"/>
        <v>0.99999999999999989</v>
      </c>
      <c r="P380" s="269">
        <f t="shared" si="286"/>
        <v>0</v>
      </c>
      <c r="Q380" s="269" t="e">
        <f t="shared" si="287"/>
        <v>#DIV/0!</v>
      </c>
      <c r="R380" s="269">
        <f t="shared" si="288"/>
        <v>0</v>
      </c>
      <c r="S380" s="269" t="e">
        <f t="shared" si="289"/>
        <v>#DIV/0!</v>
      </c>
      <c r="T380" s="269" t="e">
        <f t="shared" si="275"/>
        <v>#DIV/0!</v>
      </c>
      <c r="U380" s="234">
        <f t="shared" si="290"/>
        <v>0</v>
      </c>
      <c r="V380" s="232" t="e">
        <f t="shared" si="291"/>
        <v>#DIV/0!</v>
      </c>
      <c r="W380" s="269" t="e">
        <f t="shared" si="292"/>
        <v>#DIV/0!</v>
      </c>
      <c r="X380" s="235">
        <f t="shared" si="270"/>
        <v>0</v>
      </c>
      <c r="Y380" s="236">
        <f t="shared" si="293"/>
        <v>5</v>
      </c>
      <c r="Z380" s="236" t="e">
        <f t="shared" si="294"/>
        <v>#DIV/0!</v>
      </c>
      <c r="AA380" s="236">
        <f t="shared" si="295"/>
        <v>3</v>
      </c>
      <c r="AB380" s="236" t="e">
        <f t="shared" si="296"/>
        <v>#DIV/0!</v>
      </c>
      <c r="AC380" s="235">
        <f t="shared" si="297"/>
        <v>0</v>
      </c>
      <c r="AD380" s="235">
        <f t="shared" si="298"/>
        <v>0</v>
      </c>
      <c r="AE380" s="279">
        <f t="shared" si="299"/>
        <v>0</v>
      </c>
      <c r="AF380" s="232">
        <f t="shared" si="300"/>
        <v>1</v>
      </c>
      <c r="AG380" s="235">
        <f t="shared" si="301"/>
        <v>0</v>
      </c>
      <c r="AH380" s="269">
        <f t="shared" si="302"/>
        <v>0</v>
      </c>
      <c r="AI380" s="232">
        <f t="shared" si="303"/>
        <v>0</v>
      </c>
      <c r="AJ380" s="235">
        <f t="shared" si="304"/>
        <v>0</v>
      </c>
      <c r="AK380" s="269">
        <f t="shared" si="305"/>
        <v>0</v>
      </c>
      <c r="AL380" s="269">
        <f t="shared" si="271"/>
        <v>0</v>
      </c>
      <c r="AM380" s="281" t="e">
        <f>IF(B380&gt;=mpfo,pos*vvm*Dados!$E$122*(ntudv-SUM(U$301:$U381))-SUM($AM$13:AM379),0)</f>
        <v>#DIV/0!</v>
      </c>
      <c r="AN380" s="269" t="e">
        <f t="shared" si="306"/>
        <v>#DIV/0!</v>
      </c>
      <c r="AO380" s="232" t="e">
        <f t="shared" si="307"/>
        <v>#DIV/0!</v>
      </c>
      <c r="AP380" s="242" t="e">
        <f t="shared" si="308"/>
        <v>#DIV/0!</v>
      </c>
      <c r="AQ380" s="235" t="e">
        <f>IF(AP380+SUM($AQ$12:AQ379)&gt;=0,0,-AP380-SUM($AQ$12:AQ379))</f>
        <v>#DIV/0!</v>
      </c>
      <c r="AR380" s="235">
        <f>IF(SUM($N$13:N379)&gt;=pmo,IF(SUM(N379:$N$501)&gt;(1-pmo),B380,0),0)</f>
        <v>0</v>
      </c>
      <c r="AS380" s="235" t="e">
        <f>IF((SUM($U$13:$U379)/ntudv)&gt;=pmv,IF((SUM($U379:$U$501)/ntudv)&gt;(1-pmv),B380,0),0)</f>
        <v>#DIV/0!</v>
      </c>
      <c r="AT380" s="237" t="e">
        <f>IF(MAX(mmo,mmv)=mmo,IF(B380=AR380,(SUM(N$13:$N379)-pmo)/((1-VLOOKUP(MAX(mmo,mmv)-1,$B$13:$O$501,14))+(VLOOKUP(MAX(mmo,mmv)-1,$B$13:$O$501,14)-pmo)),N379/((1-VLOOKUP(MAX(mmo,mmv)-1,$B$13:$O$501,14)+(VLOOKUP(MAX(mmo,mmv)-1,$B$13:$O$501,14)-pmo)))),N379/(1-VLOOKUP(MAX(mmo,mmv)-2,$B$13:$O$501,14)))</f>
        <v>#DIV/0!</v>
      </c>
      <c r="AU380" s="101" t="e">
        <f t="shared" si="272"/>
        <v>#DIV/0!</v>
      </c>
      <c r="AV380" s="287" t="e">
        <f t="shared" si="273"/>
        <v>#DIV/0!</v>
      </c>
      <c r="AW380" s="235" t="e">
        <f t="shared" si="309"/>
        <v>#DIV/0!</v>
      </c>
      <c r="AX380" s="281">
        <f>IF(B380&gt;mpfo,0,IF(B380=mpfo,(vld-teo*(1+tcfo-incc)^(MAX(mmo,mmv)-mbfo))*-1,IF(SUM($N$13:N379)&gt;=pmo,IF(($V379/ntudv)&gt;=pmv,IF(B380=MAX(mmo,mmv),-teo*(1+tcfo-incc)^(B380-mbfo),0),0),0)))</f>
        <v>0</v>
      </c>
      <c r="AY380" s="292" t="e">
        <f t="shared" si="274"/>
        <v>#DIV/0!</v>
      </c>
      <c r="AZ380" s="235" t="e">
        <f t="shared" si="310"/>
        <v>#DIV/0!</v>
      </c>
      <c r="BA380" s="269" t="e">
        <f t="shared" si="311"/>
        <v>#DIV/0!</v>
      </c>
      <c r="BB380" s="292" t="e">
        <f t="shared" si="312"/>
        <v>#DIV/0!</v>
      </c>
      <c r="BC380" s="238" t="e">
        <f>IF(SUM($BC$13:BC379)&gt;0,0,IF(BB380&gt;0,B380,0))</f>
        <v>#DIV/0!</v>
      </c>
      <c r="BD380" s="292" t="e">
        <f>IF(BB380+SUM($BD$12:BD379)&gt;=0,0,-BB380-SUM($BD$12:BD379))</f>
        <v>#DIV/0!</v>
      </c>
      <c r="BE380" s="235" t="e">
        <f>BB380+SUM($BD$12:BD380)</f>
        <v>#DIV/0!</v>
      </c>
      <c r="BF380" s="292" t="e">
        <f>-MIN(BE380:$BE$501)-SUM(BF$12:$BF379)</f>
        <v>#DIV/0!</v>
      </c>
      <c r="BG380" s="235" t="e">
        <f t="shared" si="277"/>
        <v>#DIV/0!</v>
      </c>
    </row>
    <row r="381" spans="2:59">
      <c r="B381" s="120">
        <v>368</v>
      </c>
      <c r="C381" s="241">
        <f t="shared" si="276"/>
        <v>53878</v>
      </c>
      <c r="D381" s="229">
        <f t="shared" si="278"/>
        <v>7</v>
      </c>
      <c r="E381" s="230" t="str">
        <f t="shared" si="279"/>
        <v>-</v>
      </c>
      <c r="F381" s="231">
        <f t="shared" si="280"/>
        <v>0</v>
      </c>
      <c r="G381" s="231">
        <f t="shared" si="281"/>
        <v>0</v>
      </c>
      <c r="H381" s="231">
        <f t="shared" si="282"/>
        <v>0</v>
      </c>
      <c r="I381" s="268">
        <f t="shared" si="267"/>
        <v>0</v>
      </c>
      <c r="J381" s="269">
        <f t="shared" si="283"/>
        <v>0</v>
      </c>
      <c r="K381" s="269">
        <f t="shared" si="284"/>
        <v>0</v>
      </c>
      <c r="L381" s="269">
        <f t="shared" si="268"/>
        <v>0</v>
      </c>
      <c r="M381" s="269">
        <f t="shared" si="269"/>
        <v>0</v>
      </c>
      <c r="N381" s="233">
        <f>VLOOKUP(B381,Dados!$L$86:$P$90,5)</f>
        <v>0</v>
      </c>
      <c r="O381" s="270">
        <f t="shared" si="285"/>
        <v>0.99999999999999989</v>
      </c>
      <c r="P381" s="269">
        <f t="shared" si="286"/>
        <v>0</v>
      </c>
      <c r="Q381" s="269" t="e">
        <f t="shared" si="287"/>
        <v>#DIV/0!</v>
      </c>
      <c r="R381" s="269">
        <f t="shared" si="288"/>
        <v>0</v>
      </c>
      <c r="S381" s="269" t="e">
        <f t="shared" si="289"/>
        <v>#DIV/0!</v>
      </c>
      <c r="T381" s="269" t="e">
        <f t="shared" si="275"/>
        <v>#DIV/0!</v>
      </c>
      <c r="U381" s="234">
        <f t="shared" si="290"/>
        <v>0</v>
      </c>
      <c r="V381" s="232" t="e">
        <f t="shared" si="291"/>
        <v>#DIV/0!</v>
      </c>
      <c r="W381" s="269" t="e">
        <f t="shared" si="292"/>
        <v>#DIV/0!</v>
      </c>
      <c r="X381" s="235">
        <f t="shared" si="270"/>
        <v>0</v>
      </c>
      <c r="Y381" s="236">
        <f t="shared" si="293"/>
        <v>5</v>
      </c>
      <c r="Z381" s="236" t="e">
        <f t="shared" si="294"/>
        <v>#DIV/0!</v>
      </c>
      <c r="AA381" s="236">
        <f t="shared" si="295"/>
        <v>3</v>
      </c>
      <c r="AB381" s="236" t="e">
        <f t="shared" si="296"/>
        <v>#DIV/0!</v>
      </c>
      <c r="AC381" s="235">
        <f t="shared" si="297"/>
        <v>0</v>
      </c>
      <c r="AD381" s="235">
        <f t="shared" si="298"/>
        <v>0</v>
      </c>
      <c r="AE381" s="279">
        <f t="shared" si="299"/>
        <v>0</v>
      </c>
      <c r="AF381" s="232">
        <f t="shared" si="300"/>
        <v>0</v>
      </c>
      <c r="AG381" s="235">
        <f t="shared" si="301"/>
        <v>0</v>
      </c>
      <c r="AH381" s="269">
        <f t="shared" si="302"/>
        <v>0</v>
      </c>
      <c r="AI381" s="232">
        <f t="shared" si="303"/>
        <v>0</v>
      </c>
      <c r="AJ381" s="235">
        <f t="shared" si="304"/>
        <v>0</v>
      </c>
      <c r="AK381" s="269">
        <f t="shared" si="305"/>
        <v>0</v>
      </c>
      <c r="AL381" s="269">
        <f t="shared" si="271"/>
        <v>0</v>
      </c>
      <c r="AM381" s="281" t="e">
        <f>IF(B381&gt;=mpfo,pos*vvm*Dados!$E$122*(ntudv-SUM(U$301:$U382))-SUM($AM$13:AM380),0)</f>
        <v>#DIV/0!</v>
      </c>
      <c r="AN381" s="269" t="e">
        <f t="shared" si="306"/>
        <v>#DIV/0!</v>
      </c>
      <c r="AO381" s="232" t="e">
        <f t="shared" si="307"/>
        <v>#DIV/0!</v>
      </c>
      <c r="AP381" s="242" t="e">
        <f t="shared" si="308"/>
        <v>#DIV/0!</v>
      </c>
      <c r="AQ381" s="235" t="e">
        <f>IF(AP381+SUM($AQ$12:AQ380)&gt;=0,0,-AP381-SUM($AQ$12:AQ380))</f>
        <v>#DIV/0!</v>
      </c>
      <c r="AR381" s="235">
        <f>IF(SUM($N$13:N380)&gt;=pmo,IF(SUM(N380:$N$501)&gt;(1-pmo),B381,0),0)</f>
        <v>0</v>
      </c>
      <c r="AS381" s="235" t="e">
        <f>IF((SUM($U$13:$U380)/ntudv)&gt;=pmv,IF((SUM($U380:$U$501)/ntudv)&gt;(1-pmv),B381,0),0)</f>
        <v>#DIV/0!</v>
      </c>
      <c r="AT381" s="237" t="e">
        <f>IF(MAX(mmo,mmv)=mmo,IF(B381=AR381,(SUM(N$13:$N380)-pmo)/((1-VLOOKUP(MAX(mmo,mmv)-1,$B$13:$O$501,14))+(VLOOKUP(MAX(mmo,mmv)-1,$B$13:$O$501,14)-pmo)),N380/((1-VLOOKUP(MAX(mmo,mmv)-1,$B$13:$O$501,14)+(VLOOKUP(MAX(mmo,mmv)-1,$B$13:$O$501,14)-pmo)))),N380/(1-VLOOKUP(MAX(mmo,mmv)-2,$B$13:$O$501,14)))</f>
        <v>#DIV/0!</v>
      </c>
      <c r="AU381" s="101" t="e">
        <f t="shared" si="272"/>
        <v>#DIV/0!</v>
      </c>
      <c r="AV381" s="287" t="e">
        <f t="shared" si="273"/>
        <v>#DIV/0!</v>
      </c>
      <c r="AW381" s="235" t="e">
        <f t="shared" si="309"/>
        <v>#DIV/0!</v>
      </c>
      <c r="AX381" s="281">
        <f>IF(B381&gt;mpfo,0,IF(B381=mpfo,(vld-teo*(1+tcfo-incc)^(MAX(mmo,mmv)-mbfo))*-1,IF(SUM($N$13:N380)&gt;=pmo,IF(($V380/ntudv)&gt;=pmv,IF(B381=MAX(mmo,mmv),-teo*(1+tcfo-incc)^(B381-mbfo),0),0),0)))</f>
        <v>0</v>
      </c>
      <c r="AY381" s="292" t="e">
        <f t="shared" si="274"/>
        <v>#DIV/0!</v>
      </c>
      <c r="AZ381" s="235" t="e">
        <f t="shared" si="310"/>
        <v>#DIV/0!</v>
      </c>
      <c r="BA381" s="269" t="e">
        <f t="shared" si="311"/>
        <v>#DIV/0!</v>
      </c>
      <c r="BB381" s="292" t="e">
        <f t="shared" si="312"/>
        <v>#DIV/0!</v>
      </c>
      <c r="BC381" s="238" t="e">
        <f>IF(SUM($BC$13:BC380)&gt;0,0,IF(BB381&gt;0,B381,0))</f>
        <v>#DIV/0!</v>
      </c>
      <c r="BD381" s="292" t="e">
        <f>IF(BB381+SUM($BD$12:BD380)&gt;=0,0,-BB381-SUM($BD$12:BD380))</f>
        <v>#DIV/0!</v>
      </c>
      <c r="BE381" s="235" t="e">
        <f>BB381+SUM($BD$12:BD381)</f>
        <v>#DIV/0!</v>
      </c>
      <c r="BF381" s="292" t="e">
        <f>-MIN(BE381:$BE$501)-SUM(BF$12:$BF380)</f>
        <v>#DIV/0!</v>
      </c>
      <c r="BG381" s="235" t="e">
        <f t="shared" si="277"/>
        <v>#DIV/0!</v>
      </c>
    </row>
    <row r="382" spans="2:59">
      <c r="B382" s="246">
        <v>369</v>
      </c>
      <c r="C382" s="241">
        <f t="shared" si="276"/>
        <v>53909</v>
      </c>
      <c r="D382" s="229">
        <f t="shared" si="278"/>
        <v>8</v>
      </c>
      <c r="E382" s="230" t="str">
        <f t="shared" si="279"/>
        <v>-</v>
      </c>
      <c r="F382" s="231">
        <f t="shared" si="280"/>
        <v>0</v>
      </c>
      <c r="G382" s="231">
        <f t="shared" si="281"/>
        <v>0</v>
      </c>
      <c r="H382" s="231">
        <f t="shared" si="282"/>
        <v>0</v>
      </c>
      <c r="I382" s="268">
        <f t="shared" si="267"/>
        <v>0</v>
      </c>
      <c r="J382" s="269">
        <f t="shared" si="283"/>
        <v>0</v>
      </c>
      <c r="K382" s="269">
        <f t="shared" si="284"/>
        <v>0</v>
      </c>
      <c r="L382" s="269">
        <f t="shared" si="268"/>
        <v>0</v>
      </c>
      <c r="M382" s="269">
        <f t="shared" si="269"/>
        <v>0</v>
      </c>
      <c r="N382" s="233">
        <f>VLOOKUP(B382,Dados!$L$86:$P$90,5)</f>
        <v>0</v>
      </c>
      <c r="O382" s="270">
        <f t="shared" si="285"/>
        <v>0.99999999999999989</v>
      </c>
      <c r="P382" s="269">
        <f t="shared" si="286"/>
        <v>0</v>
      </c>
      <c r="Q382" s="269" t="e">
        <f t="shared" si="287"/>
        <v>#DIV/0!</v>
      </c>
      <c r="R382" s="269">
        <f t="shared" si="288"/>
        <v>0</v>
      </c>
      <c r="S382" s="269" t="e">
        <f t="shared" si="289"/>
        <v>#DIV/0!</v>
      </c>
      <c r="T382" s="269" t="e">
        <f t="shared" si="275"/>
        <v>#DIV/0!</v>
      </c>
      <c r="U382" s="234">
        <f t="shared" si="290"/>
        <v>0</v>
      </c>
      <c r="V382" s="232" t="e">
        <f t="shared" si="291"/>
        <v>#DIV/0!</v>
      </c>
      <c r="W382" s="269" t="e">
        <f t="shared" si="292"/>
        <v>#DIV/0!</v>
      </c>
      <c r="X382" s="235">
        <f t="shared" si="270"/>
        <v>0</v>
      </c>
      <c r="Y382" s="236">
        <f t="shared" si="293"/>
        <v>5</v>
      </c>
      <c r="Z382" s="236" t="e">
        <f t="shared" si="294"/>
        <v>#DIV/0!</v>
      </c>
      <c r="AA382" s="236">
        <f t="shared" si="295"/>
        <v>3</v>
      </c>
      <c r="AB382" s="236" t="e">
        <f t="shared" si="296"/>
        <v>#DIV/0!</v>
      </c>
      <c r="AC382" s="235">
        <f t="shared" si="297"/>
        <v>0</v>
      </c>
      <c r="AD382" s="235">
        <f t="shared" si="298"/>
        <v>0</v>
      </c>
      <c r="AE382" s="279">
        <f t="shared" si="299"/>
        <v>0</v>
      </c>
      <c r="AF382" s="232">
        <f t="shared" si="300"/>
        <v>0</v>
      </c>
      <c r="AG382" s="235">
        <f t="shared" si="301"/>
        <v>0</v>
      </c>
      <c r="AH382" s="269">
        <f t="shared" si="302"/>
        <v>0</v>
      </c>
      <c r="AI382" s="232">
        <f t="shared" si="303"/>
        <v>0</v>
      </c>
      <c r="AJ382" s="235">
        <f t="shared" si="304"/>
        <v>0</v>
      </c>
      <c r="AK382" s="269">
        <f t="shared" si="305"/>
        <v>0</v>
      </c>
      <c r="AL382" s="269">
        <f t="shared" si="271"/>
        <v>0</v>
      </c>
      <c r="AM382" s="281" t="e">
        <f>IF(B382&gt;=mpfo,pos*vvm*Dados!$E$122*(ntudv-SUM(U$301:$U383))-SUM($AM$13:AM381),0)</f>
        <v>#DIV/0!</v>
      </c>
      <c r="AN382" s="269" t="e">
        <f t="shared" si="306"/>
        <v>#DIV/0!</v>
      </c>
      <c r="AO382" s="232" t="e">
        <f t="shared" si="307"/>
        <v>#DIV/0!</v>
      </c>
      <c r="AP382" s="242" t="e">
        <f t="shared" si="308"/>
        <v>#DIV/0!</v>
      </c>
      <c r="AQ382" s="235" t="e">
        <f>IF(AP382+SUM($AQ$12:AQ381)&gt;=0,0,-AP382-SUM($AQ$12:AQ381))</f>
        <v>#DIV/0!</v>
      </c>
      <c r="AR382" s="235">
        <f>IF(SUM($N$13:N381)&gt;=pmo,IF(SUM(N381:$N$501)&gt;(1-pmo),B382,0),0)</f>
        <v>0</v>
      </c>
      <c r="AS382" s="235" t="e">
        <f>IF((SUM($U$13:$U381)/ntudv)&gt;=pmv,IF((SUM($U381:$U$501)/ntudv)&gt;(1-pmv),B382,0),0)</f>
        <v>#DIV/0!</v>
      </c>
      <c r="AT382" s="237" t="e">
        <f>IF(MAX(mmo,mmv)=mmo,IF(B382=AR382,(SUM(N$13:$N381)-pmo)/((1-VLOOKUP(MAX(mmo,mmv)-1,$B$13:$O$501,14))+(VLOOKUP(MAX(mmo,mmv)-1,$B$13:$O$501,14)-pmo)),N381/((1-VLOOKUP(MAX(mmo,mmv)-1,$B$13:$O$501,14)+(VLOOKUP(MAX(mmo,mmv)-1,$B$13:$O$501,14)-pmo)))),N381/(1-VLOOKUP(MAX(mmo,mmv)-2,$B$13:$O$501,14)))</f>
        <v>#DIV/0!</v>
      </c>
      <c r="AU382" s="101" t="e">
        <f t="shared" si="272"/>
        <v>#DIV/0!</v>
      </c>
      <c r="AV382" s="287" t="e">
        <f t="shared" si="273"/>
        <v>#DIV/0!</v>
      </c>
      <c r="AW382" s="235" t="e">
        <f t="shared" si="309"/>
        <v>#DIV/0!</v>
      </c>
      <c r="AX382" s="281">
        <f>IF(B382&gt;mpfo,0,IF(B382=mpfo,(vld-teo*(1+tcfo-incc)^(MAX(mmo,mmv)-mbfo))*-1,IF(SUM($N$13:N381)&gt;=pmo,IF(($V381/ntudv)&gt;=pmv,IF(B382=MAX(mmo,mmv),-teo*(1+tcfo-incc)^(B382-mbfo),0),0),0)))</f>
        <v>0</v>
      </c>
      <c r="AY382" s="292" t="e">
        <f t="shared" si="274"/>
        <v>#DIV/0!</v>
      </c>
      <c r="AZ382" s="235" t="e">
        <f t="shared" si="310"/>
        <v>#DIV/0!</v>
      </c>
      <c r="BA382" s="269" t="e">
        <f t="shared" si="311"/>
        <v>#DIV/0!</v>
      </c>
      <c r="BB382" s="292" t="e">
        <f t="shared" si="312"/>
        <v>#DIV/0!</v>
      </c>
      <c r="BC382" s="238" t="e">
        <f>IF(SUM($BC$13:BC381)&gt;0,0,IF(BB382&gt;0,B382,0))</f>
        <v>#DIV/0!</v>
      </c>
      <c r="BD382" s="292" t="e">
        <f>IF(BB382+SUM($BD$12:BD381)&gt;=0,0,-BB382-SUM($BD$12:BD381))</f>
        <v>#DIV/0!</v>
      </c>
      <c r="BE382" s="235" t="e">
        <f>BB382+SUM($BD$12:BD382)</f>
        <v>#DIV/0!</v>
      </c>
      <c r="BF382" s="292" t="e">
        <f>-MIN(BE382:$BE$501)-SUM(BF$12:$BF381)</f>
        <v>#DIV/0!</v>
      </c>
      <c r="BG382" s="235" t="e">
        <f t="shared" si="277"/>
        <v>#DIV/0!</v>
      </c>
    </row>
    <row r="383" spans="2:59">
      <c r="B383" s="120">
        <v>370</v>
      </c>
      <c r="C383" s="241">
        <f t="shared" si="276"/>
        <v>53940</v>
      </c>
      <c r="D383" s="229">
        <f t="shared" si="278"/>
        <v>9</v>
      </c>
      <c r="E383" s="230" t="str">
        <f t="shared" si="279"/>
        <v>-</v>
      </c>
      <c r="F383" s="231">
        <f t="shared" si="280"/>
        <v>0</v>
      </c>
      <c r="G383" s="231">
        <f t="shared" si="281"/>
        <v>0</v>
      </c>
      <c r="H383" s="231">
        <f t="shared" si="282"/>
        <v>0</v>
      </c>
      <c r="I383" s="268">
        <f t="shared" si="267"/>
        <v>0</v>
      </c>
      <c r="J383" s="269">
        <f t="shared" si="283"/>
        <v>0</v>
      </c>
      <c r="K383" s="269">
        <f t="shared" si="284"/>
        <v>0</v>
      </c>
      <c r="L383" s="269">
        <f t="shared" si="268"/>
        <v>0</v>
      </c>
      <c r="M383" s="269">
        <f t="shared" si="269"/>
        <v>0</v>
      </c>
      <c r="N383" s="233">
        <f>VLOOKUP(B383,Dados!$L$86:$P$90,5)</f>
        <v>0</v>
      </c>
      <c r="O383" s="270">
        <f t="shared" si="285"/>
        <v>0.99999999999999989</v>
      </c>
      <c r="P383" s="269">
        <f t="shared" si="286"/>
        <v>0</v>
      </c>
      <c r="Q383" s="269" t="e">
        <f t="shared" si="287"/>
        <v>#DIV/0!</v>
      </c>
      <c r="R383" s="269">
        <f t="shared" si="288"/>
        <v>0</v>
      </c>
      <c r="S383" s="269" t="e">
        <f t="shared" si="289"/>
        <v>#DIV/0!</v>
      </c>
      <c r="T383" s="269" t="e">
        <f t="shared" si="275"/>
        <v>#DIV/0!</v>
      </c>
      <c r="U383" s="234">
        <f t="shared" si="290"/>
        <v>0</v>
      </c>
      <c r="V383" s="232" t="e">
        <f t="shared" si="291"/>
        <v>#DIV/0!</v>
      </c>
      <c r="W383" s="269" t="e">
        <f t="shared" si="292"/>
        <v>#DIV/0!</v>
      </c>
      <c r="X383" s="235">
        <f t="shared" si="270"/>
        <v>0</v>
      </c>
      <c r="Y383" s="236">
        <f t="shared" si="293"/>
        <v>5</v>
      </c>
      <c r="Z383" s="236" t="e">
        <f t="shared" si="294"/>
        <v>#DIV/0!</v>
      </c>
      <c r="AA383" s="236">
        <f t="shared" si="295"/>
        <v>3</v>
      </c>
      <c r="AB383" s="236" t="e">
        <f t="shared" si="296"/>
        <v>#DIV/0!</v>
      </c>
      <c r="AC383" s="235">
        <f t="shared" si="297"/>
        <v>0</v>
      </c>
      <c r="AD383" s="235">
        <f t="shared" si="298"/>
        <v>0</v>
      </c>
      <c r="AE383" s="279">
        <f t="shared" si="299"/>
        <v>0</v>
      </c>
      <c r="AF383" s="232">
        <f t="shared" si="300"/>
        <v>0</v>
      </c>
      <c r="AG383" s="235">
        <f t="shared" si="301"/>
        <v>0</v>
      </c>
      <c r="AH383" s="269">
        <f t="shared" si="302"/>
        <v>0</v>
      </c>
      <c r="AI383" s="232">
        <f t="shared" si="303"/>
        <v>0</v>
      </c>
      <c r="AJ383" s="235">
        <f t="shared" si="304"/>
        <v>0</v>
      </c>
      <c r="AK383" s="269">
        <f t="shared" si="305"/>
        <v>0</v>
      </c>
      <c r="AL383" s="269">
        <f t="shared" si="271"/>
        <v>0</v>
      </c>
      <c r="AM383" s="281" t="e">
        <f>IF(B383&gt;=mpfo,pos*vvm*Dados!$E$122*(ntudv-SUM(U$301:$U384))-SUM($AM$13:AM382),0)</f>
        <v>#DIV/0!</v>
      </c>
      <c r="AN383" s="269" t="e">
        <f t="shared" si="306"/>
        <v>#DIV/0!</v>
      </c>
      <c r="AO383" s="232" t="e">
        <f t="shared" si="307"/>
        <v>#DIV/0!</v>
      </c>
      <c r="AP383" s="242" t="e">
        <f t="shared" si="308"/>
        <v>#DIV/0!</v>
      </c>
      <c r="AQ383" s="235" t="e">
        <f>IF(AP383+SUM($AQ$12:AQ382)&gt;=0,0,-AP383-SUM($AQ$12:AQ382))</f>
        <v>#DIV/0!</v>
      </c>
      <c r="AR383" s="235">
        <f>IF(SUM($N$13:N382)&gt;=pmo,IF(SUM(N382:$N$501)&gt;(1-pmo),B383,0),0)</f>
        <v>0</v>
      </c>
      <c r="AS383" s="235" t="e">
        <f>IF((SUM($U$13:$U382)/ntudv)&gt;=pmv,IF((SUM($U382:$U$501)/ntudv)&gt;(1-pmv),B383,0),0)</f>
        <v>#DIV/0!</v>
      </c>
      <c r="AT383" s="237" t="e">
        <f>IF(MAX(mmo,mmv)=mmo,IF(B383=AR383,(SUM(N$13:$N382)-pmo)/((1-VLOOKUP(MAX(mmo,mmv)-1,$B$13:$O$501,14))+(VLOOKUP(MAX(mmo,mmv)-1,$B$13:$O$501,14)-pmo)),N382/((1-VLOOKUP(MAX(mmo,mmv)-1,$B$13:$O$501,14)+(VLOOKUP(MAX(mmo,mmv)-1,$B$13:$O$501,14)-pmo)))),N382/(1-VLOOKUP(MAX(mmo,mmv)-2,$B$13:$O$501,14)))</f>
        <v>#DIV/0!</v>
      </c>
      <c r="AU383" s="101" t="e">
        <f t="shared" si="272"/>
        <v>#DIV/0!</v>
      </c>
      <c r="AV383" s="287" t="e">
        <f t="shared" si="273"/>
        <v>#DIV/0!</v>
      </c>
      <c r="AW383" s="235" t="e">
        <f t="shared" si="309"/>
        <v>#DIV/0!</v>
      </c>
      <c r="AX383" s="281">
        <f>IF(B383&gt;mpfo,0,IF(B383=mpfo,(vld-teo*(1+tcfo-incc)^(MAX(mmo,mmv)-mbfo))*-1,IF(SUM($N$13:N382)&gt;=pmo,IF(($V382/ntudv)&gt;=pmv,IF(B383=MAX(mmo,mmv),-teo*(1+tcfo-incc)^(B383-mbfo),0),0),0)))</f>
        <v>0</v>
      </c>
      <c r="AY383" s="292" t="e">
        <f t="shared" si="274"/>
        <v>#DIV/0!</v>
      </c>
      <c r="AZ383" s="235" t="e">
        <f t="shared" si="310"/>
        <v>#DIV/0!</v>
      </c>
      <c r="BA383" s="269" t="e">
        <f t="shared" si="311"/>
        <v>#DIV/0!</v>
      </c>
      <c r="BB383" s="292" t="e">
        <f t="shared" si="312"/>
        <v>#DIV/0!</v>
      </c>
      <c r="BC383" s="238" t="e">
        <f>IF(SUM($BC$13:BC382)&gt;0,0,IF(BB383&gt;0,B383,0))</f>
        <v>#DIV/0!</v>
      </c>
      <c r="BD383" s="292" t="e">
        <f>IF(BB383+SUM($BD$12:BD382)&gt;=0,0,-BB383-SUM($BD$12:BD382))</f>
        <v>#DIV/0!</v>
      </c>
      <c r="BE383" s="235" t="e">
        <f>BB383+SUM($BD$12:BD383)</f>
        <v>#DIV/0!</v>
      </c>
      <c r="BF383" s="292" t="e">
        <f>-MIN(BE383:$BE$501)-SUM(BF$12:$BF382)</f>
        <v>#DIV/0!</v>
      </c>
      <c r="BG383" s="235" t="e">
        <f t="shared" si="277"/>
        <v>#DIV/0!</v>
      </c>
    </row>
    <row r="384" spans="2:59">
      <c r="B384" s="246">
        <v>371</v>
      </c>
      <c r="C384" s="241">
        <f t="shared" si="276"/>
        <v>53970</v>
      </c>
      <c r="D384" s="229">
        <f t="shared" si="278"/>
        <v>10</v>
      </c>
      <c r="E384" s="230" t="str">
        <f t="shared" si="279"/>
        <v>-</v>
      </c>
      <c r="F384" s="231">
        <f t="shared" si="280"/>
        <v>0</v>
      </c>
      <c r="G384" s="231">
        <f t="shared" si="281"/>
        <v>0</v>
      </c>
      <c r="H384" s="231">
        <f t="shared" si="282"/>
        <v>0</v>
      </c>
      <c r="I384" s="268">
        <f t="shared" si="267"/>
        <v>0</v>
      </c>
      <c r="J384" s="269">
        <f t="shared" si="283"/>
        <v>0</v>
      </c>
      <c r="K384" s="269">
        <f t="shared" si="284"/>
        <v>0</v>
      </c>
      <c r="L384" s="269">
        <f t="shared" si="268"/>
        <v>0</v>
      </c>
      <c r="M384" s="269">
        <f t="shared" si="269"/>
        <v>0</v>
      </c>
      <c r="N384" s="233">
        <f>VLOOKUP(B384,Dados!$L$86:$P$90,5)</f>
        <v>0</v>
      </c>
      <c r="O384" s="270">
        <f t="shared" si="285"/>
        <v>0.99999999999999989</v>
      </c>
      <c r="P384" s="269">
        <f t="shared" si="286"/>
        <v>0</v>
      </c>
      <c r="Q384" s="269" t="e">
        <f t="shared" si="287"/>
        <v>#DIV/0!</v>
      </c>
      <c r="R384" s="269">
        <f t="shared" si="288"/>
        <v>0</v>
      </c>
      <c r="S384" s="269" t="e">
        <f t="shared" si="289"/>
        <v>#DIV/0!</v>
      </c>
      <c r="T384" s="269" t="e">
        <f t="shared" si="275"/>
        <v>#DIV/0!</v>
      </c>
      <c r="U384" s="234">
        <f t="shared" si="290"/>
        <v>0</v>
      </c>
      <c r="V384" s="232" t="e">
        <f t="shared" si="291"/>
        <v>#DIV/0!</v>
      </c>
      <c r="W384" s="269" t="e">
        <f t="shared" si="292"/>
        <v>#DIV/0!</v>
      </c>
      <c r="X384" s="235">
        <f t="shared" si="270"/>
        <v>0</v>
      </c>
      <c r="Y384" s="236">
        <f t="shared" si="293"/>
        <v>5</v>
      </c>
      <c r="Z384" s="236" t="e">
        <f t="shared" si="294"/>
        <v>#DIV/0!</v>
      </c>
      <c r="AA384" s="236">
        <f t="shared" si="295"/>
        <v>3</v>
      </c>
      <c r="AB384" s="236" t="e">
        <f t="shared" si="296"/>
        <v>#DIV/0!</v>
      </c>
      <c r="AC384" s="235">
        <f t="shared" si="297"/>
        <v>0</v>
      </c>
      <c r="AD384" s="235">
        <f t="shared" si="298"/>
        <v>0</v>
      </c>
      <c r="AE384" s="279">
        <f t="shared" si="299"/>
        <v>0</v>
      </c>
      <c r="AF384" s="232">
        <f t="shared" si="300"/>
        <v>0</v>
      </c>
      <c r="AG384" s="235">
        <f t="shared" si="301"/>
        <v>0</v>
      </c>
      <c r="AH384" s="269">
        <f t="shared" si="302"/>
        <v>0</v>
      </c>
      <c r="AI384" s="232">
        <f t="shared" si="303"/>
        <v>0</v>
      </c>
      <c r="AJ384" s="235">
        <f t="shared" si="304"/>
        <v>0</v>
      </c>
      <c r="AK384" s="269">
        <f t="shared" si="305"/>
        <v>0</v>
      </c>
      <c r="AL384" s="269">
        <f t="shared" si="271"/>
        <v>0</v>
      </c>
      <c r="AM384" s="281" t="e">
        <f>IF(B384&gt;=mpfo,pos*vvm*Dados!$E$122*(ntudv-SUM(U$301:$U385))-SUM($AM$13:AM383),0)</f>
        <v>#DIV/0!</v>
      </c>
      <c r="AN384" s="269" t="e">
        <f t="shared" si="306"/>
        <v>#DIV/0!</v>
      </c>
      <c r="AO384" s="232" t="e">
        <f t="shared" si="307"/>
        <v>#DIV/0!</v>
      </c>
      <c r="AP384" s="242" t="e">
        <f t="shared" si="308"/>
        <v>#DIV/0!</v>
      </c>
      <c r="AQ384" s="235" t="e">
        <f>IF(AP384+SUM($AQ$12:AQ383)&gt;=0,0,-AP384-SUM($AQ$12:AQ383))</f>
        <v>#DIV/0!</v>
      </c>
      <c r="AR384" s="235">
        <f>IF(SUM($N$13:N383)&gt;=pmo,IF(SUM(N383:$N$501)&gt;(1-pmo),B384,0),0)</f>
        <v>0</v>
      </c>
      <c r="AS384" s="235" t="e">
        <f>IF((SUM($U$13:$U383)/ntudv)&gt;=pmv,IF((SUM($U383:$U$501)/ntudv)&gt;(1-pmv),B384,0),0)</f>
        <v>#DIV/0!</v>
      </c>
      <c r="AT384" s="237" t="e">
        <f>IF(MAX(mmo,mmv)=mmo,IF(B384=AR384,(SUM(N$13:$N383)-pmo)/((1-VLOOKUP(MAX(mmo,mmv)-1,$B$13:$O$501,14))+(VLOOKUP(MAX(mmo,mmv)-1,$B$13:$O$501,14)-pmo)),N383/((1-VLOOKUP(MAX(mmo,mmv)-1,$B$13:$O$501,14)+(VLOOKUP(MAX(mmo,mmv)-1,$B$13:$O$501,14)-pmo)))),N383/(1-VLOOKUP(MAX(mmo,mmv)-2,$B$13:$O$501,14)))</f>
        <v>#DIV/0!</v>
      </c>
      <c r="AU384" s="101" t="e">
        <f t="shared" si="272"/>
        <v>#DIV/0!</v>
      </c>
      <c r="AV384" s="287" t="e">
        <f t="shared" si="273"/>
        <v>#DIV/0!</v>
      </c>
      <c r="AW384" s="235" t="e">
        <f t="shared" si="309"/>
        <v>#DIV/0!</v>
      </c>
      <c r="AX384" s="281">
        <f>IF(B384&gt;mpfo,0,IF(B384=mpfo,(vld-teo*(1+tcfo-incc)^(MAX(mmo,mmv)-mbfo))*-1,IF(SUM($N$13:N383)&gt;=pmo,IF(($V383/ntudv)&gt;=pmv,IF(B384=MAX(mmo,mmv),-teo*(1+tcfo-incc)^(B384-mbfo),0),0),0)))</f>
        <v>0</v>
      </c>
      <c r="AY384" s="292" t="e">
        <f t="shared" si="274"/>
        <v>#DIV/0!</v>
      </c>
      <c r="AZ384" s="235" t="e">
        <f t="shared" si="310"/>
        <v>#DIV/0!</v>
      </c>
      <c r="BA384" s="269" t="e">
        <f t="shared" si="311"/>
        <v>#DIV/0!</v>
      </c>
      <c r="BB384" s="292" t="e">
        <f t="shared" si="312"/>
        <v>#DIV/0!</v>
      </c>
      <c r="BC384" s="238" t="e">
        <f>IF(SUM($BC$13:BC383)&gt;0,0,IF(BB384&gt;0,B384,0))</f>
        <v>#DIV/0!</v>
      </c>
      <c r="BD384" s="292" t="e">
        <f>IF(BB384+SUM($BD$12:BD383)&gt;=0,0,-BB384-SUM($BD$12:BD383))</f>
        <v>#DIV/0!</v>
      </c>
      <c r="BE384" s="235" t="e">
        <f>BB384+SUM($BD$12:BD384)</f>
        <v>#DIV/0!</v>
      </c>
      <c r="BF384" s="292" t="e">
        <f>-MIN(BE384:$BE$501)-SUM(BF$12:$BF383)</f>
        <v>#DIV/0!</v>
      </c>
      <c r="BG384" s="235" t="e">
        <f t="shared" si="277"/>
        <v>#DIV/0!</v>
      </c>
    </row>
    <row r="385" spans="2:59">
      <c r="B385" s="120">
        <v>372</v>
      </c>
      <c r="C385" s="241">
        <f t="shared" si="276"/>
        <v>54001</v>
      </c>
      <c r="D385" s="229">
        <f t="shared" si="278"/>
        <v>11</v>
      </c>
      <c r="E385" s="230" t="str">
        <f t="shared" si="279"/>
        <v>-</v>
      </c>
      <c r="F385" s="231">
        <f t="shared" si="280"/>
        <v>0</v>
      </c>
      <c r="G385" s="231">
        <f t="shared" si="281"/>
        <v>0</v>
      </c>
      <c r="H385" s="231">
        <f t="shared" si="282"/>
        <v>0</v>
      </c>
      <c r="I385" s="268">
        <f t="shared" si="267"/>
        <v>0</v>
      </c>
      <c r="J385" s="269">
        <f t="shared" si="283"/>
        <v>0</v>
      </c>
      <c r="K385" s="269">
        <f t="shared" si="284"/>
        <v>0</v>
      </c>
      <c r="L385" s="269">
        <f t="shared" si="268"/>
        <v>0</v>
      </c>
      <c r="M385" s="269">
        <f t="shared" si="269"/>
        <v>0</v>
      </c>
      <c r="N385" s="233">
        <f>VLOOKUP(B385,Dados!$L$86:$P$90,5)</f>
        <v>0</v>
      </c>
      <c r="O385" s="270">
        <f t="shared" si="285"/>
        <v>0.99999999999999989</v>
      </c>
      <c r="P385" s="269">
        <f t="shared" si="286"/>
        <v>0</v>
      </c>
      <c r="Q385" s="269" t="e">
        <f t="shared" si="287"/>
        <v>#DIV/0!</v>
      </c>
      <c r="R385" s="269">
        <f t="shared" si="288"/>
        <v>0</v>
      </c>
      <c r="S385" s="269" t="e">
        <f t="shared" si="289"/>
        <v>#DIV/0!</v>
      </c>
      <c r="T385" s="269" t="e">
        <f t="shared" si="275"/>
        <v>#DIV/0!</v>
      </c>
      <c r="U385" s="234">
        <f t="shared" si="290"/>
        <v>0</v>
      </c>
      <c r="V385" s="232" t="e">
        <f t="shared" si="291"/>
        <v>#DIV/0!</v>
      </c>
      <c r="W385" s="269" t="e">
        <f t="shared" si="292"/>
        <v>#DIV/0!</v>
      </c>
      <c r="X385" s="235">
        <f t="shared" si="270"/>
        <v>0</v>
      </c>
      <c r="Y385" s="236">
        <f t="shared" si="293"/>
        <v>5</v>
      </c>
      <c r="Z385" s="236" t="e">
        <f t="shared" si="294"/>
        <v>#DIV/0!</v>
      </c>
      <c r="AA385" s="236">
        <f t="shared" si="295"/>
        <v>3</v>
      </c>
      <c r="AB385" s="236" t="e">
        <f t="shared" si="296"/>
        <v>#DIV/0!</v>
      </c>
      <c r="AC385" s="235">
        <f t="shared" si="297"/>
        <v>0</v>
      </c>
      <c r="AD385" s="235">
        <f t="shared" si="298"/>
        <v>0</v>
      </c>
      <c r="AE385" s="279">
        <f t="shared" si="299"/>
        <v>0</v>
      </c>
      <c r="AF385" s="232">
        <f t="shared" si="300"/>
        <v>0</v>
      </c>
      <c r="AG385" s="235">
        <f t="shared" si="301"/>
        <v>0</v>
      </c>
      <c r="AH385" s="269">
        <f t="shared" si="302"/>
        <v>0</v>
      </c>
      <c r="AI385" s="232">
        <f t="shared" si="303"/>
        <v>0</v>
      </c>
      <c r="AJ385" s="235">
        <f t="shared" si="304"/>
        <v>0</v>
      </c>
      <c r="AK385" s="269">
        <f t="shared" si="305"/>
        <v>0</v>
      </c>
      <c r="AL385" s="269">
        <f t="shared" si="271"/>
        <v>0</v>
      </c>
      <c r="AM385" s="281" t="e">
        <f>IF(B385&gt;=mpfo,pos*vvm*Dados!$E$122*(ntudv-SUM(U$301:$U386))-SUM($AM$13:AM384),0)</f>
        <v>#DIV/0!</v>
      </c>
      <c r="AN385" s="269" t="e">
        <f t="shared" si="306"/>
        <v>#DIV/0!</v>
      </c>
      <c r="AO385" s="232" t="e">
        <f t="shared" si="307"/>
        <v>#DIV/0!</v>
      </c>
      <c r="AP385" s="242" t="e">
        <f t="shared" si="308"/>
        <v>#DIV/0!</v>
      </c>
      <c r="AQ385" s="235" t="e">
        <f>IF(AP385+SUM($AQ$12:AQ384)&gt;=0,0,-AP385-SUM($AQ$12:AQ384))</f>
        <v>#DIV/0!</v>
      </c>
      <c r="AR385" s="235">
        <f>IF(SUM($N$13:N384)&gt;=pmo,IF(SUM(N384:$N$501)&gt;(1-pmo),B385,0),0)</f>
        <v>0</v>
      </c>
      <c r="AS385" s="235" t="e">
        <f>IF((SUM($U$13:$U384)/ntudv)&gt;=pmv,IF((SUM($U384:$U$501)/ntudv)&gt;(1-pmv),B385,0),0)</f>
        <v>#DIV/0!</v>
      </c>
      <c r="AT385" s="237" t="e">
        <f>IF(MAX(mmo,mmv)=mmo,IF(B385=AR385,(SUM(N$13:$N384)-pmo)/((1-VLOOKUP(MAX(mmo,mmv)-1,$B$13:$O$501,14))+(VLOOKUP(MAX(mmo,mmv)-1,$B$13:$O$501,14)-pmo)),N384/((1-VLOOKUP(MAX(mmo,mmv)-1,$B$13:$O$501,14)+(VLOOKUP(MAX(mmo,mmv)-1,$B$13:$O$501,14)-pmo)))),N384/(1-VLOOKUP(MAX(mmo,mmv)-2,$B$13:$O$501,14)))</f>
        <v>#DIV/0!</v>
      </c>
      <c r="AU385" s="101" t="e">
        <f t="shared" si="272"/>
        <v>#DIV/0!</v>
      </c>
      <c r="AV385" s="287" t="e">
        <f t="shared" si="273"/>
        <v>#DIV/0!</v>
      </c>
      <c r="AW385" s="235" t="e">
        <f t="shared" si="309"/>
        <v>#DIV/0!</v>
      </c>
      <c r="AX385" s="281">
        <f>IF(B385&gt;mpfo,0,IF(B385=mpfo,(vld-teo*(1+tcfo-incc)^(MAX(mmo,mmv)-mbfo))*-1,IF(SUM($N$13:N384)&gt;=pmo,IF(($V384/ntudv)&gt;=pmv,IF(B385=MAX(mmo,mmv),-teo*(1+tcfo-incc)^(B385-mbfo),0),0),0)))</f>
        <v>0</v>
      </c>
      <c r="AY385" s="292" t="e">
        <f t="shared" si="274"/>
        <v>#DIV/0!</v>
      </c>
      <c r="AZ385" s="235" t="e">
        <f t="shared" si="310"/>
        <v>#DIV/0!</v>
      </c>
      <c r="BA385" s="269" t="e">
        <f t="shared" si="311"/>
        <v>#DIV/0!</v>
      </c>
      <c r="BB385" s="292" t="e">
        <f t="shared" si="312"/>
        <v>#DIV/0!</v>
      </c>
      <c r="BC385" s="238" t="e">
        <f>IF(SUM($BC$13:BC384)&gt;0,0,IF(BB385&gt;0,B385,0))</f>
        <v>#DIV/0!</v>
      </c>
      <c r="BD385" s="292" t="e">
        <f>IF(BB385+SUM($BD$12:BD384)&gt;=0,0,-BB385-SUM($BD$12:BD384))</f>
        <v>#DIV/0!</v>
      </c>
      <c r="BE385" s="235" t="e">
        <f>BB385+SUM($BD$12:BD385)</f>
        <v>#DIV/0!</v>
      </c>
      <c r="BF385" s="292" t="e">
        <f>-MIN(BE385:$BE$501)-SUM(BF$12:$BF384)</f>
        <v>#DIV/0!</v>
      </c>
      <c r="BG385" s="235" t="e">
        <f t="shared" si="277"/>
        <v>#DIV/0!</v>
      </c>
    </row>
    <row r="386" spans="2:59">
      <c r="B386" s="246">
        <v>373</v>
      </c>
      <c r="C386" s="241">
        <f t="shared" si="276"/>
        <v>54031</v>
      </c>
      <c r="D386" s="229">
        <f t="shared" si="278"/>
        <v>12</v>
      </c>
      <c r="E386" s="230" t="str">
        <f t="shared" si="279"/>
        <v>-</v>
      </c>
      <c r="F386" s="231">
        <f t="shared" si="280"/>
        <v>0</v>
      </c>
      <c r="G386" s="231">
        <f t="shared" si="281"/>
        <v>0</v>
      </c>
      <c r="H386" s="231">
        <f t="shared" si="282"/>
        <v>0</v>
      </c>
      <c r="I386" s="268">
        <f t="shared" si="267"/>
        <v>0</v>
      </c>
      <c r="J386" s="269">
        <f t="shared" si="283"/>
        <v>0</v>
      </c>
      <c r="K386" s="269">
        <f t="shared" si="284"/>
        <v>0</v>
      </c>
      <c r="L386" s="269">
        <f t="shared" si="268"/>
        <v>0</v>
      </c>
      <c r="M386" s="269">
        <f t="shared" si="269"/>
        <v>0</v>
      </c>
      <c r="N386" s="233">
        <f>VLOOKUP(B386,Dados!$L$86:$P$90,5)</f>
        <v>0</v>
      </c>
      <c r="O386" s="270">
        <f t="shared" si="285"/>
        <v>0.99999999999999989</v>
      </c>
      <c r="P386" s="269">
        <f t="shared" si="286"/>
        <v>0</v>
      </c>
      <c r="Q386" s="269" t="e">
        <f t="shared" si="287"/>
        <v>#DIV/0!</v>
      </c>
      <c r="R386" s="269">
        <f t="shared" si="288"/>
        <v>0</v>
      </c>
      <c r="S386" s="269" t="e">
        <f t="shared" si="289"/>
        <v>#DIV/0!</v>
      </c>
      <c r="T386" s="269" t="e">
        <f t="shared" si="275"/>
        <v>#DIV/0!</v>
      </c>
      <c r="U386" s="234">
        <f t="shared" si="290"/>
        <v>0</v>
      </c>
      <c r="V386" s="232" t="e">
        <f t="shared" si="291"/>
        <v>#DIV/0!</v>
      </c>
      <c r="W386" s="269" t="e">
        <f t="shared" si="292"/>
        <v>#DIV/0!</v>
      </c>
      <c r="X386" s="235">
        <f t="shared" si="270"/>
        <v>0</v>
      </c>
      <c r="Y386" s="236">
        <f t="shared" si="293"/>
        <v>5</v>
      </c>
      <c r="Z386" s="236" t="e">
        <f t="shared" si="294"/>
        <v>#DIV/0!</v>
      </c>
      <c r="AA386" s="236">
        <f t="shared" si="295"/>
        <v>3</v>
      </c>
      <c r="AB386" s="236" t="e">
        <f t="shared" si="296"/>
        <v>#DIV/0!</v>
      </c>
      <c r="AC386" s="235">
        <f t="shared" si="297"/>
        <v>0</v>
      </c>
      <c r="AD386" s="235">
        <f t="shared" si="298"/>
        <v>0</v>
      </c>
      <c r="AE386" s="279">
        <f t="shared" si="299"/>
        <v>0</v>
      </c>
      <c r="AF386" s="232">
        <f t="shared" si="300"/>
        <v>1</v>
      </c>
      <c r="AG386" s="235">
        <f t="shared" si="301"/>
        <v>0</v>
      </c>
      <c r="AH386" s="269">
        <f t="shared" si="302"/>
        <v>0</v>
      </c>
      <c r="AI386" s="232">
        <f t="shared" si="303"/>
        <v>1</v>
      </c>
      <c r="AJ386" s="235">
        <f t="shared" si="304"/>
        <v>0</v>
      </c>
      <c r="AK386" s="269">
        <f t="shared" si="305"/>
        <v>0</v>
      </c>
      <c r="AL386" s="269">
        <f t="shared" si="271"/>
        <v>0</v>
      </c>
      <c r="AM386" s="281" t="e">
        <f>IF(B386&gt;=mpfo,pos*vvm*Dados!$E$122*(ntudv-SUM(U$301:$U387))-SUM($AM$13:AM385),0)</f>
        <v>#DIV/0!</v>
      </c>
      <c r="AN386" s="269" t="e">
        <f t="shared" si="306"/>
        <v>#DIV/0!</v>
      </c>
      <c r="AO386" s="232" t="e">
        <f t="shared" si="307"/>
        <v>#DIV/0!</v>
      </c>
      <c r="AP386" s="242" t="e">
        <f t="shared" si="308"/>
        <v>#DIV/0!</v>
      </c>
      <c r="AQ386" s="235" t="e">
        <f>IF(AP386+SUM($AQ$12:AQ385)&gt;=0,0,-AP386-SUM($AQ$12:AQ385))</f>
        <v>#DIV/0!</v>
      </c>
      <c r="AR386" s="235">
        <f>IF(SUM($N$13:N385)&gt;=pmo,IF(SUM(N385:$N$501)&gt;(1-pmo),B386,0),0)</f>
        <v>0</v>
      </c>
      <c r="AS386" s="235" t="e">
        <f>IF((SUM($U$13:$U385)/ntudv)&gt;=pmv,IF((SUM($U385:$U$501)/ntudv)&gt;(1-pmv),B386,0),0)</f>
        <v>#DIV/0!</v>
      </c>
      <c r="AT386" s="237" t="e">
        <f>IF(MAX(mmo,mmv)=mmo,IF(B386=AR386,(SUM(N$13:$N385)-pmo)/((1-VLOOKUP(MAX(mmo,mmv)-1,$B$13:$O$501,14))+(VLOOKUP(MAX(mmo,mmv)-1,$B$13:$O$501,14)-pmo)),N385/((1-VLOOKUP(MAX(mmo,mmv)-1,$B$13:$O$501,14)+(VLOOKUP(MAX(mmo,mmv)-1,$B$13:$O$501,14)-pmo)))),N385/(1-VLOOKUP(MAX(mmo,mmv)-2,$B$13:$O$501,14)))</f>
        <v>#DIV/0!</v>
      </c>
      <c r="AU386" s="101" t="e">
        <f t="shared" si="272"/>
        <v>#DIV/0!</v>
      </c>
      <c r="AV386" s="287" t="e">
        <f t="shared" si="273"/>
        <v>#DIV/0!</v>
      </c>
      <c r="AW386" s="235" t="e">
        <f t="shared" si="309"/>
        <v>#DIV/0!</v>
      </c>
      <c r="AX386" s="281">
        <f>IF(B386&gt;mpfo,0,IF(B386=mpfo,(vld-teo*(1+tcfo-incc)^(MAX(mmo,mmv)-mbfo))*-1,IF(SUM($N$13:N385)&gt;=pmo,IF(($V385/ntudv)&gt;=pmv,IF(B386=MAX(mmo,mmv),-teo*(1+tcfo-incc)^(B386-mbfo),0),0),0)))</f>
        <v>0</v>
      </c>
      <c r="AY386" s="292" t="e">
        <f t="shared" si="274"/>
        <v>#DIV/0!</v>
      </c>
      <c r="AZ386" s="235" t="e">
        <f t="shared" si="310"/>
        <v>#DIV/0!</v>
      </c>
      <c r="BA386" s="269" t="e">
        <f t="shared" si="311"/>
        <v>#DIV/0!</v>
      </c>
      <c r="BB386" s="292" t="e">
        <f t="shared" si="312"/>
        <v>#DIV/0!</v>
      </c>
      <c r="BC386" s="238" t="e">
        <f>IF(SUM($BC$13:BC385)&gt;0,0,IF(BB386&gt;0,B386,0))</f>
        <v>#DIV/0!</v>
      </c>
      <c r="BD386" s="292" t="e">
        <f>IF(BB386+SUM($BD$12:BD385)&gt;=0,0,-BB386-SUM($BD$12:BD385))</f>
        <v>#DIV/0!</v>
      </c>
      <c r="BE386" s="235" t="e">
        <f>BB386+SUM($BD$12:BD386)</f>
        <v>#DIV/0!</v>
      </c>
      <c r="BF386" s="292" t="e">
        <f>-MIN(BE386:$BE$501)-SUM(BF$12:$BF385)</f>
        <v>#DIV/0!</v>
      </c>
      <c r="BG386" s="235" t="e">
        <f t="shared" si="277"/>
        <v>#DIV/0!</v>
      </c>
    </row>
    <row r="387" spans="2:59">
      <c r="B387" s="120">
        <v>374</v>
      </c>
      <c r="C387" s="241">
        <f t="shared" si="276"/>
        <v>54062</v>
      </c>
      <c r="D387" s="229">
        <f t="shared" si="278"/>
        <v>1</v>
      </c>
      <c r="E387" s="230" t="str">
        <f t="shared" si="279"/>
        <v>-</v>
      </c>
      <c r="F387" s="231">
        <f t="shared" si="280"/>
        <v>0</v>
      </c>
      <c r="G387" s="231">
        <f t="shared" si="281"/>
        <v>0</v>
      </c>
      <c r="H387" s="231">
        <f t="shared" si="282"/>
        <v>0</v>
      </c>
      <c r="I387" s="268">
        <f t="shared" si="267"/>
        <v>0</v>
      </c>
      <c r="J387" s="269">
        <f t="shared" si="283"/>
        <v>0</v>
      </c>
      <c r="K387" s="269">
        <f t="shared" si="284"/>
        <v>0</v>
      </c>
      <c r="L387" s="269">
        <f t="shared" si="268"/>
        <v>0</v>
      </c>
      <c r="M387" s="269">
        <f t="shared" si="269"/>
        <v>0</v>
      </c>
      <c r="N387" s="233">
        <f>VLOOKUP(B387,Dados!$L$86:$P$90,5)</f>
        <v>0</v>
      </c>
      <c r="O387" s="270">
        <f t="shared" si="285"/>
        <v>0.99999999999999989</v>
      </c>
      <c r="P387" s="269">
        <f t="shared" si="286"/>
        <v>0</v>
      </c>
      <c r="Q387" s="269" t="e">
        <f t="shared" si="287"/>
        <v>#DIV/0!</v>
      </c>
      <c r="R387" s="269">
        <f t="shared" si="288"/>
        <v>0</v>
      </c>
      <c r="S387" s="269" t="e">
        <f t="shared" si="289"/>
        <v>#DIV/0!</v>
      </c>
      <c r="T387" s="269" t="e">
        <f t="shared" si="275"/>
        <v>#DIV/0!</v>
      </c>
      <c r="U387" s="234">
        <f t="shared" si="290"/>
        <v>0</v>
      </c>
      <c r="V387" s="232" t="e">
        <f t="shared" si="291"/>
        <v>#DIV/0!</v>
      </c>
      <c r="W387" s="269" t="e">
        <f t="shared" si="292"/>
        <v>#DIV/0!</v>
      </c>
      <c r="X387" s="235">
        <f t="shared" si="270"/>
        <v>0</v>
      </c>
      <c r="Y387" s="236">
        <f t="shared" si="293"/>
        <v>5</v>
      </c>
      <c r="Z387" s="236" t="e">
        <f t="shared" si="294"/>
        <v>#DIV/0!</v>
      </c>
      <c r="AA387" s="236">
        <f t="shared" si="295"/>
        <v>3</v>
      </c>
      <c r="AB387" s="236" t="e">
        <f t="shared" si="296"/>
        <v>#DIV/0!</v>
      </c>
      <c r="AC387" s="235">
        <f t="shared" si="297"/>
        <v>0</v>
      </c>
      <c r="AD387" s="235">
        <f t="shared" si="298"/>
        <v>0</v>
      </c>
      <c r="AE387" s="279">
        <f t="shared" si="299"/>
        <v>0</v>
      </c>
      <c r="AF387" s="232">
        <f t="shared" si="300"/>
        <v>0</v>
      </c>
      <c r="AG387" s="235">
        <f t="shared" si="301"/>
        <v>0</v>
      </c>
      <c r="AH387" s="269">
        <f t="shared" si="302"/>
        <v>0</v>
      </c>
      <c r="AI387" s="232">
        <f t="shared" si="303"/>
        <v>0</v>
      </c>
      <c r="AJ387" s="235">
        <f t="shared" si="304"/>
        <v>0</v>
      </c>
      <c r="AK387" s="269">
        <f t="shared" si="305"/>
        <v>0</v>
      </c>
      <c r="AL387" s="269">
        <f t="shared" si="271"/>
        <v>0</v>
      </c>
      <c r="AM387" s="281" t="e">
        <f>IF(B387&gt;=mpfo,pos*vvm*Dados!$E$122*(ntudv-SUM(U$301:$U388))-SUM($AM$13:AM386),0)</f>
        <v>#DIV/0!</v>
      </c>
      <c r="AN387" s="269" t="e">
        <f t="shared" si="306"/>
        <v>#DIV/0!</v>
      </c>
      <c r="AO387" s="232" t="e">
        <f t="shared" si="307"/>
        <v>#DIV/0!</v>
      </c>
      <c r="AP387" s="242" t="e">
        <f t="shared" si="308"/>
        <v>#DIV/0!</v>
      </c>
      <c r="AQ387" s="235" t="e">
        <f>IF(AP387+SUM($AQ$12:AQ386)&gt;=0,0,-AP387-SUM($AQ$12:AQ386))</f>
        <v>#DIV/0!</v>
      </c>
      <c r="AR387" s="235">
        <f>IF(SUM($N$13:N386)&gt;=pmo,IF(SUM(N386:$N$501)&gt;(1-pmo),B387,0),0)</f>
        <v>0</v>
      </c>
      <c r="AS387" s="235" t="e">
        <f>IF((SUM($U$13:$U386)/ntudv)&gt;=pmv,IF((SUM($U386:$U$501)/ntudv)&gt;(1-pmv),B387,0),0)</f>
        <v>#DIV/0!</v>
      </c>
      <c r="AT387" s="237" t="e">
        <f>IF(MAX(mmo,mmv)=mmo,IF(B387=AR387,(SUM(N$13:$N386)-pmo)/((1-VLOOKUP(MAX(mmo,mmv)-1,$B$13:$O$501,14))+(VLOOKUP(MAX(mmo,mmv)-1,$B$13:$O$501,14)-pmo)),N386/((1-VLOOKUP(MAX(mmo,mmv)-1,$B$13:$O$501,14)+(VLOOKUP(MAX(mmo,mmv)-1,$B$13:$O$501,14)-pmo)))),N386/(1-VLOOKUP(MAX(mmo,mmv)-2,$B$13:$O$501,14)))</f>
        <v>#DIV/0!</v>
      </c>
      <c r="AU387" s="101" t="e">
        <f t="shared" si="272"/>
        <v>#DIV/0!</v>
      </c>
      <c r="AV387" s="287" t="e">
        <f t="shared" si="273"/>
        <v>#DIV/0!</v>
      </c>
      <c r="AW387" s="235" t="e">
        <f t="shared" si="309"/>
        <v>#DIV/0!</v>
      </c>
      <c r="AX387" s="281">
        <f>IF(B387&gt;mpfo,0,IF(B387=mpfo,(vld-teo*(1+tcfo-incc)^(MAX(mmo,mmv)-mbfo))*-1,IF(SUM($N$13:N386)&gt;=pmo,IF(($V386/ntudv)&gt;=pmv,IF(B387=MAX(mmo,mmv),-teo*(1+tcfo-incc)^(B387-mbfo),0),0),0)))</f>
        <v>0</v>
      </c>
      <c r="AY387" s="292" t="e">
        <f t="shared" si="274"/>
        <v>#DIV/0!</v>
      </c>
      <c r="AZ387" s="235" t="e">
        <f t="shared" si="310"/>
        <v>#DIV/0!</v>
      </c>
      <c r="BA387" s="269" t="e">
        <f t="shared" si="311"/>
        <v>#DIV/0!</v>
      </c>
      <c r="BB387" s="292" t="e">
        <f t="shared" si="312"/>
        <v>#DIV/0!</v>
      </c>
      <c r="BC387" s="238" t="e">
        <f>IF(SUM($BC$13:BC386)&gt;0,0,IF(BB387&gt;0,B387,0))</f>
        <v>#DIV/0!</v>
      </c>
      <c r="BD387" s="292" t="e">
        <f>IF(BB387+SUM($BD$12:BD386)&gt;=0,0,-BB387-SUM($BD$12:BD386))</f>
        <v>#DIV/0!</v>
      </c>
      <c r="BE387" s="235" t="e">
        <f>BB387+SUM($BD$12:BD387)</f>
        <v>#DIV/0!</v>
      </c>
      <c r="BF387" s="292" t="e">
        <f>-MIN(BE387:$BE$501)-SUM(BF$12:$BF386)</f>
        <v>#DIV/0!</v>
      </c>
      <c r="BG387" s="235" t="e">
        <f t="shared" si="277"/>
        <v>#DIV/0!</v>
      </c>
    </row>
    <row r="388" spans="2:59">
      <c r="B388" s="246">
        <v>375</v>
      </c>
      <c r="C388" s="241">
        <f t="shared" si="276"/>
        <v>54093</v>
      </c>
      <c r="D388" s="229">
        <f t="shared" si="278"/>
        <v>2</v>
      </c>
      <c r="E388" s="230" t="str">
        <f t="shared" si="279"/>
        <v>-</v>
      </c>
      <c r="F388" s="231">
        <f t="shared" si="280"/>
        <v>0</v>
      </c>
      <c r="G388" s="231">
        <f t="shared" si="281"/>
        <v>0</v>
      </c>
      <c r="H388" s="231">
        <f t="shared" si="282"/>
        <v>0</v>
      </c>
      <c r="I388" s="268">
        <f t="shared" si="267"/>
        <v>0</v>
      </c>
      <c r="J388" s="269">
        <f t="shared" si="283"/>
        <v>0</v>
      </c>
      <c r="K388" s="269">
        <f t="shared" si="284"/>
        <v>0</v>
      </c>
      <c r="L388" s="269">
        <f t="shared" si="268"/>
        <v>0</v>
      </c>
      <c r="M388" s="269">
        <f t="shared" si="269"/>
        <v>0</v>
      </c>
      <c r="N388" s="233">
        <f>VLOOKUP(B388,Dados!$L$86:$P$90,5)</f>
        <v>0</v>
      </c>
      <c r="O388" s="270">
        <f t="shared" si="285"/>
        <v>0.99999999999999989</v>
      </c>
      <c r="P388" s="269">
        <f t="shared" si="286"/>
        <v>0</v>
      </c>
      <c r="Q388" s="269" t="e">
        <f t="shared" si="287"/>
        <v>#DIV/0!</v>
      </c>
      <c r="R388" s="269">
        <f t="shared" si="288"/>
        <v>0</v>
      </c>
      <c r="S388" s="269" t="e">
        <f t="shared" si="289"/>
        <v>#DIV/0!</v>
      </c>
      <c r="T388" s="269" t="e">
        <f t="shared" si="275"/>
        <v>#DIV/0!</v>
      </c>
      <c r="U388" s="234">
        <f t="shared" si="290"/>
        <v>0</v>
      </c>
      <c r="V388" s="232" t="e">
        <f t="shared" si="291"/>
        <v>#DIV/0!</v>
      </c>
      <c r="W388" s="269" t="e">
        <f t="shared" si="292"/>
        <v>#DIV/0!</v>
      </c>
      <c r="X388" s="235">
        <f t="shared" si="270"/>
        <v>0</v>
      </c>
      <c r="Y388" s="236">
        <f t="shared" si="293"/>
        <v>5</v>
      </c>
      <c r="Z388" s="236" t="e">
        <f t="shared" si="294"/>
        <v>#DIV/0!</v>
      </c>
      <c r="AA388" s="236">
        <f t="shared" si="295"/>
        <v>3</v>
      </c>
      <c r="AB388" s="236" t="e">
        <f t="shared" si="296"/>
        <v>#DIV/0!</v>
      </c>
      <c r="AC388" s="235">
        <f t="shared" si="297"/>
        <v>0</v>
      </c>
      <c r="AD388" s="235">
        <f t="shared" si="298"/>
        <v>0</v>
      </c>
      <c r="AE388" s="279">
        <f t="shared" si="299"/>
        <v>0</v>
      </c>
      <c r="AF388" s="232">
        <f t="shared" si="300"/>
        <v>0</v>
      </c>
      <c r="AG388" s="235">
        <f t="shared" si="301"/>
        <v>0</v>
      </c>
      <c r="AH388" s="269">
        <f t="shared" si="302"/>
        <v>0</v>
      </c>
      <c r="AI388" s="232">
        <f t="shared" si="303"/>
        <v>0</v>
      </c>
      <c r="AJ388" s="235">
        <f t="shared" si="304"/>
        <v>0</v>
      </c>
      <c r="AK388" s="269">
        <f t="shared" si="305"/>
        <v>0</v>
      </c>
      <c r="AL388" s="269">
        <f t="shared" si="271"/>
        <v>0</v>
      </c>
      <c r="AM388" s="281" t="e">
        <f>IF(B388&gt;=mpfo,pos*vvm*Dados!$E$122*(ntudv-SUM(U$301:$U389))-SUM($AM$13:AM387),0)</f>
        <v>#DIV/0!</v>
      </c>
      <c r="AN388" s="269" t="e">
        <f t="shared" si="306"/>
        <v>#DIV/0!</v>
      </c>
      <c r="AO388" s="232" t="e">
        <f t="shared" si="307"/>
        <v>#DIV/0!</v>
      </c>
      <c r="AP388" s="242" t="e">
        <f t="shared" si="308"/>
        <v>#DIV/0!</v>
      </c>
      <c r="AQ388" s="235" t="e">
        <f>IF(AP388+SUM($AQ$12:AQ387)&gt;=0,0,-AP388-SUM($AQ$12:AQ387))</f>
        <v>#DIV/0!</v>
      </c>
      <c r="AR388" s="235">
        <f>IF(SUM($N$13:N387)&gt;=pmo,IF(SUM(N387:$N$501)&gt;(1-pmo),B388,0),0)</f>
        <v>0</v>
      </c>
      <c r="AS388" s="235" t="e">
        <f>IF((SUM($U$13:$U387)/ntudv)&gt;=pmv,IF((SUM($U387:$U$501)/ntudv)&gt;(1-pmv),B388,0),0)</f>
        <v>#DIV/0!</v>
      </c>
      <c r="AT388" s="237" t="e">
        <f>IF(MAX(mmo,mmv)=mmo,IF(B388=AR388,(SUM(N$13:$N387)-pmo)/((1-VLOOKUP(MAX(mmo,mmv)-1,$B$13:$O$501,14))+(VLOOKUP(MAX(mmo,mmv)-1,$B$13:$O$501,14)-pmo)),N387/((1-VLOOKUP(MAX(mmo,mmv)-1,$B$13:$O$501,14)+(VLOOKUP(MAX(mmo,mmv)-1,$B$13:$O$501,14)-pmo)))),N387/(1-VLOOKUP(MAX(mmo,mmv)-2,$B$13:$O$501,14)))</f>
        <v>#DIV/0!</v>
      </c>
      <c r="AU388" s="101" t="e">
        <f t="shared" si="272"/>
        <v>#DIV/0!</v>
      </c>
      <c r="AV388" s="287" t="e">
        <f t="shared" si="273"/>
        <v>#DIV/0!</v>
      </c>
      <c r="AW388" s="235" t="e">
        <f t="shared" si="309"/>
        <v>#DIV/0!</v>
      </c>
      <c r="AX388" s="281">
        <f>IF(B388&gt;mpfo,0,IF(B388=mpfo,(vld-teo*(1+tcfo-incc)^(MAX(mmo,mmv)-mbfo))*-1,IF(SUM($N$13:N387)&gt;=pmo,IF(($V387/ntudv)&gt;=pmv,IF(B388=MAX(mmo,mmv),-teo*(1+tcfo-incc)^(B388-mbfo),0),0),0)))</f>
        <v>0</v>
      </c>
      <c r="AY388" s="292" t="e">
        <f t="shared" si="274"/>
        <v>#DIV/0!</v>
      </c>
      <c r="AZ388" s="235" t="e">
        <f t="shared" si="310"/>
        <v>#DIV/0!</v>
      </c>
      <c r="BA388" s="269" t="e">
        <f t="shared" si="311"/>
        <v>#DIV/0!</v>
      </c>
      <c r="BB388" s="292" t="e">
        <f t="shared" si="312"/>
        <v>#DIV/0!</v>
      </c>
      <c r="BC388" s="238" t="e">
        <f>IF(SUM($BC$13:BC387)&gt;0,0,IF(BB388&gt;0,B388,0))</f>
        <v>#DIV/0!</v>
      </c>
      <c r="BD388" s="292" t="e">
        <f>IF(BB388+SUM($BD$12:BD387)&gt;=0,0,-BB388-SUM($BD$12:BD387))</f>
        <v>#DIV/0!</v>
      </c>
      <c r="BE388" s="235" t="e">
        <f>BB388+SUM($BD$12:BD388)</f>
        <v>#DIV/0!</v>
      </c>
      <c r="BF388" s="292" t="e">
        <f>-MIN(BE388:$BE$501)-SUM(BF$12:$BF387)</f>
        <v>#DIV/0!</v>
      </c>
      <c r="BG388" s="235" t="e">
        <f t="shared" si="277"/>
        <v>#DIV/0!</v>
      </c>
    </row>
    <row r="389" spans="2:59">
      <c r="B389" s="120">
        <v>376</v>
      </c>
      <c r="C389" s="241">
        <f t="shared" si="276"/>
        <v>54122</v>
      </c>
      <c r="D389" s="229">
        <f t="shared" si="278"/>
        <v>3</v>
      </c>
      <c r="E389" s="230" t="str">
        <f t="shared" si="279"/>
        <v>-</v>
      </c>
      <c r="F389" s="231">
        <f t="shared" si="280"/>
        <v>0</v>
      </c>
      <c r="G389" s="231">
        <f t="shared" si="281"/>
        <v>0</v>
      </c>
      <c r="H389" s="231">
        <f t="shared" si="282"/>
        <v>0</v>
      </c>
      <c r="I389" s="268">
        <f t="shared" si="267"/>
        <v>0</v>
      </c>
      <c r="J389" s="269">
        <f t="shared" si="283"/>
        <v>0</v>
      </c>
      <c r="K389" s="269">
        <f t="shared" si="284"/>
        <v>0</v>
      </c>
      <c r="L389" s="269">
        <f t="shared" si="268"/>
        <v>0</v>
      </c>
      <c r="M389" s="269">
        <f t="shared" si="269"/>
        <v>0</v>
      </c>
      <c r="N389" s="233">
        <f>VLOOKUP(B389,Dados!$L$86:$P$90,5)</f>
        <v>0</v>
      </c>
      <c r="O389" s="270">
        <f t="shared" si="285"/>
        <v>0.99999999999999989</v>
      </c>
      <c r="P389" s="269">
        <f t="shared" si="286"/>
        <v>0</v>
      </c>
      <c r="Q389" s="269" t="e">
        <f t="shared" si="287"/>
        <v>#DIV/0!</v>
      </c>
      <c r="R389" s="269">
        <f t="shared" si="288"/>
        <v>0</v>
      </c>
      <c r="S389" s="269" t="e">
        <f t="shared" si="289"/>
        <v>#DIV/0!</v>
      </c>
      <c r="T389" s="269" t="e">
        <f t="shared" si="275"/>
        <v>#DIV/0!</v>
      </c>
      <c r="U389" s="234">
        <f t="shared" si="290"/>
        <v>0</v>
      </c>
      <c r="V389" s="232" t="e">
        <f t="shared" si="291"/>
        <v>#DIV/0!</v>
      </c>
      <c r="W389" s="269" t="e">
        <f t="shared" si="292"/>
        <v>#DIV/0!</v>
      </c>
      <c r="X389" s="235">
        <f t="shared" si="270"/>
        <v>0</v>
      </c>
      <c r="Y389" s="236">
        <f t="shared" si="293"/>
        <v>5</v>
      </c>
      <c r="Z389" s="236" t="e">
        <f t="shared" si="294"/>
        <v>#DIV/0!</v>
      </c>
      <c r="AA389" s="236">
        <f t="shared" si="295"/>
        <v>3</v>
      </c>
      <c r="AB389" s="236" t="e">
        <f t="shared" si="296"/>
        <v>#DIV/0!</v>
      </c>
      <c r="AC389" s="235">
        <f t="shared" si="297"/>
        <v>0</v>
      </c>
      <c r="AD389" s="235">
        <f t="shared" si="298"/>
        <v>0</v>
      </c>
      <c r="AE389" s="279">
        <f t="shared" si="299"/>
        <v>0</v>
      </c>
      <c r="AF389" s="232">
        <f t="shared" si="300"/>
        <v>0</v>
      </c>
      <c r="AG389" s="235">
        <f t="shared" si="301"/>
        <v>0</v>
      </c>
      <c r="AH389" s="269">
        <f t="shared" si="302"/>
        <v>0</v>
      </c>
      <c r="AI389" s="232">
        <f t="shared" si="303"/>
        <v>0</v>
      </c>
      <c r="AJ389" s="235">
        <f t="shared" si="304"/>
        <v>0</v>
      </c>
      <c r="AK389" s="269">
        <f t="shared" si="305"/>
        <v>0</v>
      </c>
      <c r="AL389" s="269">
        <f t="shared" si="271"/>
        <v>0</v>
      </c>
      <c r="AM389" s="281" t="e">
        <f>IF(B389&gt;=mpfo,pos*vvm*Dados!$E$122*(ntudv-SUM(U$301:$U390))-SUM($AM$13:AM388),0)</f>
        <v>#DIV/0!</v>
      </c>
      <c r="AN389" s="269" t="e">
        <f t="shared" si="306"/>
        <v>#DIV/0!</v>
      </c>
      <c r="AO389" s="232" t="e">
        <f t="shared" si="307"/>
        <v>#DIV/0!</v>
      </c>
      <c r="AP389" s="242" t="e">
        <f t="shared" si="308"/>
        <v>#DIV/0!</v>
      </c>
      <c r="AQ389" s="235" t="e">
        <f>IF(AP389+SUM($AQ$12:AQ388)&gt;=0,0,-AP389-SUM($AQ$12:AQ388))</f>
        <v>#DIV/0!</v>
      </c>
      <c r="AR389" s="235">
        <f>IF(SUM($N$13:N388)&gt;=pmo,IF(SUM(N388:$N$501)&gt;(1-pmo),B389,0),0)</f>
        <v>0</v>
      </c>
      <c r="AS389" s="235" t="e">
        <f>IF((SUM($U$13:$U388)/ntudv)&gt;=pmv,IF((SUM($U388:$U$501)/ntudv)&gt;(1-pmv),B389,0),0)</f>
        <v>#DIV/0!</v>
      </c>
      <c r="AT389" s="237" t="e">
        <f>IF(MAX(mmo,mmv)=mmo,IF(B389=AR389,(SUM(N$13:$N388)-pmo)/((1-VLOOKUP(MAX(mmo,mmv)-1,$B$13:$O$501,14))+(VLOOKUP(MAX(mmo,mmv)-1,$B$13:$O$501,14)-pmo)),N388/((1-VLOOKUP(MAX(mmo,mmv)-1,$B$13:$O$501,14)+(VLOOKUP(MAX(mmo,mmv)-1,$B$13:$O$501,14)-pmo)))),N388/(1-VLOOKUP(MAX(mmo,mmv)-2,$B$13:$O$501,14)))</f>
        <v>#DIV/0!</v>
      </c>
      <c r="AU389" s="101" t="e">
        <f t="shared" si="272"/>
        <v>#DIV/0!</v>
      </c>
      <c r="AV389" s="287" t="e">
        <f t="shared" si="273"/>
        <v>#DIV/0!</v>
      </c>
      <c r="AW389" s="235" t="e">
        <f t="shared" si="309"/>
        <v>#DIV/0!</v>
      </c>
      <c r="AX389" s="281">
        <f>IF(B389&gt;mpfo,0,IF(B389=mpfo,(vld-teo*(1+tcfo-incc)^(MAX(mmo,mmv)-mbfo))*-1,IF(SUM($N$13:N388)&gt;=pmo,IF(($V388/ntudv)&gt;=pmv,IF(B389=MAX(mmo,mmv),-teo*(1+tcfo-incc)^(B389-mbfo),0),0),0)))</f>
        <v>0</v>
      </c>
      <c r="AY389" s="292" t="e">
        <f t="shared" si="274"/>
        <v>#DIV/0!</v>
      </c>
      <c r="AZ389" s="235" t="e">
        <f t="shared" si="310"/>
        <v>#DIV/0!</v>
      </c>
      <c r="BA389" s="269" t="e">
        <f t="shared" si="311"/>
        <v>#DIV/0!</v>
      </c>
      <c r="BB389" s="292" t="e">
        <f t="shared" si="312"/>
        <v>#DIV/0!</v>
      </c>
      <c r="BC389" s="238" t="e">
        <f>IF(SUM($BC$13:BC388)&gt;0,0,IF(BB389&gt;0,B389,0))</f>
        <v>#DIV/0!</v>
      </c>
      <c r="BD389" s="292" t="e">
        <f>IF(BB389+SUM($BD$12:BD388)&gt;=0,0,-BB389-SUM($BD$12:BD388))</f>
        <v>#DIV/0!</v>
      </c>
      <c r="BE389" s="235" t="e">
        <f>BB389+SUM($BD$12:BD389)</f>
        <v>#DIV/0!</v>
      </c>
      <c r="BF389" s="292" t="e">
        <f>-MIN(BE389:$BE$501)-SUM(BF$12:$BF388)</f>
        <v>#DIV/0!</v>
      </c>
      <c r="BG389" s="235" t="e">
        <f t="shared" si="277"/>
        <v>#DIV/0!</v>
      </c>
    </row>
    <row r="390" spans="2:59">
      <c r="B390" s="246">
        <v>377</v>
      </c>
      <c r="C390" s="241">
        <f t="shared" si="276"/>
        <v>54153</v>
      </c>
      <c r="D390" s="229">
        <f t="shared" si="278"/>
        <v>4</v>
      </c>
      <c r="E390" s="230" t="str">
        <f t="shared" si="279"/>
        <v>-</v>
      </c>
      <c r="F390" s="231">
        <f t="shared" si="280"/>
        <v>0</v>
      </c>
      <c r="G390" s="231">
        <f t="shared" si="281"/>
        <v>0</v>
      </c>
      <c r="H390" s="231">
        <f t="shared" si="282"/>
        <v>0</v>
      </c>
      <c r="I390" s="268">
        <f t="shared" si="267"/>
        <v>0</v>
      </c>
      <c r="J390" s="269">
        <f t="shared" si="283"/>
        <v>0</v>
      </c>
      <c r="K390" s="269">
        <f t="shared" si="284"/>
        <v>0</v>
      </c>
      <c r="L390" s="269">
        <f t="shared" si="268"/>
        <v>0</v>
      </c>
      <c r="M390" s="269">
        <f t="shared" si="269"/>
        <v>0</v>
      </c>
      <c r="N390" s="233">
        <f>VLOOKUP(B390,Dados!$L$86:$P$90,5)</f>
        <v>0</v>
      </c>
      <c r="O390" s="270">
        <f t="shared" si="285"/>
        <v>0.99999999999999989</v>
      </c>
      <c r="P390" s="269">
        <f t="shared" si="286"/>
        <v>0</v>
      </c>
      <c r="Q390" s="269" t="e">
        <f t="shared" si="287"/>
        <v>#DIV/0!</v>
      </c>
      <c r="R390" s="269">
        <f t="shared" si="288"/>
        <v>0</v>
      </c>
      <c r="S390" s="269" t="e">
        <f t="shared" si="289"/>
        <v>#DIV/0!</v>
      </c>
      <c r="T390" s="269" t="e">
        <f t="shared" si="275"/>
        <v>#DIV/0!</v>
      </c>
      <c r="U390" s="234">
        <f t="shared" si="290"/>
        <v>0</v>
      </c>
      <c r="V390" s="232" t="e">
        <f t="shared" si="291"/>
        <v>#DIV/0!</v>
      </c>
      <c r="W390" s="269" t="e">
        <f t="shared" si="292"/>
        <v>#DIV/0!</v>
      </c>
      <c r="X390" s="235">
        <f t="shared" si="270"/>
        <v>0</v>
      </c>
      <c r="Y390" s="236">
        <f t="shared" si="293"/>
        <v>5</v>
      </c>
      <c r="Z390" s="236" t="e">
        <f t="shared" si="294"/>
        <v>#DIV/0!</v>
      </c>
      <c r="AA390" s="236">
        <f t="shared" si="295"/>
        <v>3</v>
      </c>
      <c r="AB390" s="236" t="e">
        <f t="shared" si="296"/>
        <v>#DIV/0!</v>
      </c>
      <c r="AC390" s="235">
        <f t="shared" si="297"/>
        <v>0</v>
      </c>
      <c r="AD390" s="235">
        <f t="shared" si="298"/>
        <v>0</v>
      </c>
      <c r="AE390" s="279">
        <f t="shared" si="299"/>
        <v>0</v>
      </c>
      <c r="AF390" s="232">
        <f t="shared" si="300"/>
        <v>0</v>
      </c>
      <c r="AG390" s="235">
        <f t="shared" si="301"/>
        <v>0</v>
      </c>
      <c r="AH390" s="269">
        <f t="shared" si="302"/>
        <v>0</v>
      </c>
      <c r="AI390" s="232">
        <f t="shared" si="303"/>
        <v>0</v>
      </c>
      <c r="AJ390" s="235">
        <f t="shared" si="304"/>
        <v>0</v>
      </c>
      <c r="AK390" s="269">
        <f t="shared" si="305"/>
        <v>0</v>
      </c>
      <c r="AL390" s="269">
        <f t="shared" si="271"/>
        <v>0</v>
      </c>
      <c r="AM390" s="281" t="e">
        <f>IF(B390&gt;=mpfo,pos*vvm*Dados!$E$122*(ntudv-SUM(U$301:$U391))-SUM($AM$13:AM389),0)</f>
        <v>#DIV/0!</v>
      </c>
      <c r="AN390" s="269" t="e">
        <f t="shared" si="306"/>
        <v>#DIV/0!</v>
      </c>
      <c r="AO390" s="232" t="e">
        <f t="shared" si="307"/>
        <v>#DIV/0!</v>
      </c>
      <c r="AP390" s="242" t="e">
        <f t="shared" si="308"/>
        <v>#DIV/0!</v>
      </c>
      <c r="AQ390" s="235" t="e">
        <f>IF(AP390+SUM($AQ$12:AQ389)&gt;=0,0,-AP390-SUM($AQ$12:AQ389))</f>
        <v>#DIV/0!</v>
      </c>
      <c r="AR390" s="235">
        <f>IF(SUM($N$13:N389)&gt;=pmo,IF(SUM(N389:$N$501)&gt;(1-pmo),B390,0),0)</f>
        <v>0</v>
      </c>
      <c r="AS390" s="235" t="e">
        <f>IF((SUM($U$13:$U389)/ntudv)&gt;=pmv,IF((SUM($U389:$U$501)/ntudv)&gt;(1-pmv),B390,0),0)</f>
        <v>#DIV/0!</v>
      </c>
      <c r="AT390" s="237" t="e">
        <f>IF(MAX(mmo,mmv)=mmo,IF(B390=AR390,(SUM(N$13:$N389)-pmo)/((1-VLOOKUP(MAX(mmo,mmv)-1,$B$13:$O$501,14))+(VLOOKUP(MAX(mmo,mmv)-1,$B$13:$O$501,14)-pmo)),N389/((1-VLOOKUP(MAX(mmo,mmv)-1,$B$13:$O$501,14)+(VLOOKUP(MAX(mmo,mmv)-1,$B$13:$O$501,14)-pmo)))),N389/(1-VLOOKUP(MAX(mmo,mmv)-2,$B$13:$O$501,14)))</f>
        <v>#DIV/0!</v>
      </c>
      <c r="AU390" s="101" t="e">
        <f t="shared" si="272"/>
        <v>#DIV/0!</v>
      </c>
      <c r="AV390" s="287" t="e">
        <f t="shared" si="273"/>
        <v>#DIV/0!</v>
      </c>
      <c r="AW390" s="235" t="e">
        <f t="shared" si="309"/>
        <v>#DIV/0!</v>
      </c>
      <c r="AX390" s="281">
        <f>IF(B390&gt;mpfo,0,IF(B390=mpfo,(vld-teo*(1+tcfo-incc)^(MAX(mmo,mmv)-mbfo))*-1,IF(SUM($N$13:N389)&gt;=pmo,IF(($V389/ntudv)&gt;=pmv,IF(B390=MAX(mmo,mmv),-teo*(1+tcfo-incc)^(B390-mbfo),0),0),0)))</f>
        <v>0</v>
      </c>
      <c r="AY390" s="292" t="e">
        <f t="shared" si="274"/>
        <v>#DIV/0!</v>
      </c>
      <c r="AZ390" s="235" t="e">
        <f t="shared" si="310"/>
        <v>#DIV/0!</v>
      </c>
      <c r="BA390" s="269" t="e">
        <f t="shared" si="311"/>
        <v>#DIV/0!</v>
      </c>
      <c r="BB390" s="292" t="e">
        <f t="shared" si="312"/>
        <v>#DIV/0!</v>
      </c>
      <c r="BC390" s="238" t="e">
        <f>IF(SUM($BC$13:BC389)&gt;0,0,IF(BB390&gt;0,B390,0))</f>
        <v>#DIV/0!</v>
      </c>
      <c r="BD390" s="292" t="e">
        <f>IF(BB390+SUM($BD$12:BD389)&gt;=0,0,-BB390-SUM($BD$12:BD389))</f>
        <v>#DIV/0!</v>
      </c>
      <c r="BE390" s="235" t="e">
        <f>BB390+SUM($BD$12:BD390)</f>
        <v>#DIV/0!</v>
      </c>
      <c r="BF390" s="292" t="e">
        <f>-MIN(BE390:$BE$501)-SUM(BF$12:$BF389)</f>
        <v>#DIV/0!</v>
      </c>
      <c r="BG390" s="235" t="e">
        <f t="shared" si="277"/>
        <v>#DIV/0!</v>
      </c>
    </row>
    <row r="391" spans="2:59">
      <c r="B391" s="120">
        <v>378</v>
      </c>
      <c r="C391" s="241">
        <f t="shared" si="276"/>
        <v>54183</v>
      </c>
      <c r="D391" s="229">
        <f t="shared" si="278"/>
        <v>5</v>
      </c>
      <c r="E391" s="230" t="str">
        <f t="shared" si="279"/>
        <v>-</v>
      </c>
      <c r="F391" s="231">
        <f t="shared" si="280"/>
        <v>0</v>
      </c>
      <c r="G391" s="231">
        <f t="shared" si="281"/>
        <v>0</v>
      </c>
      <c r="H391" s="231">
        <f t="shared" si="282"/>
        <v>0</v>
      </c>
      <c r="I391" s="268">
        <f t="shared" si="267"/>
        <v>0</v>
      </c>
      <c r="J391" s="269">
        <f t="shared" si="283"/>
        <v>0</v>
      </c>
      <c r="K391" s="269">
        <f t="shared" si="284"/>
        <v>0</v>
      </c>
      <c r="L391" s="269">
        <f t="shared" si="268"/>
        <v>0</v>
      </c>
      <c r="M391" s="269">
        <f t="shared" si="269"/>
        <v>0</v>
      </c>
      <c r="N391" s="233">
        <f>VLOOKUP(B391,Dados!$L$86:$P$90,5)</f>
        <v>0</v>
      </c>
      <c r="O391" s="270">
        <f t="shared" si="285"/>
        <v>0.99999999999999989</v>
      </c>
      <c r="P391" s="269">
        <f t="shared" si="286"/>
        <v>0</v>
      </c>
      <c r="Q391" s="269" t="e">
        <f t="shared" si="287"/>
        <v>#DIV/0!</v>
      </c>
      <c r="R391" s="269">
        <f t="shared" si="288"/>
        <v>0</v>
      </c>
      <c r="S391" s="269" t="e">
        <f t="shared" si="289"/>
        <v>#DIV/0!</v>
      </c>
      <c r="T391" s="269" t="e">
        <f t="shared" si="275"/>
        <v>#DIV/0!</v>
      </c>
      <c r="U391" s="234">
        <f t="shared" si="290"/>
        <v>0</v>
      </c>
      <c r="V391" s="232" t="e">
        <f t="shared" si="291"/>
        <v>#DIV/0!</v>
      </c>
      <c r="W391" s="269" t="e">
        <f t="shared" si="292"/>
        <v>#DIV/0!</v>
      </c>
      <c r="X391" s="235">
        <f t="shared" si="270"/>
        <v>0</v>
      </c>
      <c r="Y391" s="236">
        <f t="shared" si="293"/>
        <v>5</v>
      </c>
      <c r="Z391" s="236" t="e">
        <f t="shared" si="294"/>
        <v>#DIV/0!</v>
      </c>
      <c r="AA391" s="236">
        <f t="shared" si="295"/>
        <v>3</v>
      </c>
      <c r="AB391" s="236" t="e">
        <f t="shared" si="296"/>
        <v>#DIV/0!</v>
      </c>
      <c r="AC391" s="235">
        <f t="shared" si="297"/>
        <v>0</v>
      </c>
      <c r="AD391" s="235">
        <f t="shared" si="298"/>
        <v>0</v>
      </c>
      <c r="AE391" s="279">
        <f t="shared" si="299"/>
        <v>0</v>
      </c>
      <c r="AF391" s="232">
        <f t="shared" si="300"/>
        <v>0</v>
      </c>
      <c r="AG391" s="235">
        <f t="shared" si="301"/>
        <v>0</v>
      </c>
      <c r="AH391" s="269">
        <f t="shared" si="302"/>
        <v>0</v>
      </c>
      <c r="AI391" s="232">
        <f t="shared" si="303"/>
        <v>0</v>
      </c>
      <c r="AJ391" s="235">
        <f t="shared" si="304"/>
        <v>0</v>
      </c>
      <c r="AK391" s="269">
        <f t="shared" si="305"/>
        <v>0</v>
      </c>
      <c r="AL391" s="269">
        <f t="shared" si="271"/>
        <v>0</v>
      </c>
      <c r="AM391" s="281" t="e">
        <f>IF(B391&gt;=mpfo,pos*vvm*Dados!$E$122*(ntudv-SUM(U$301:$U392))-SUM($AM$13:AM390),0)</f>
        <v>#DIV/0!</v>
      </c>
      <c r="AN391" s="269" t="e">
        <f t="shared" si="306"/>
        <v>#DIV/0!</v>
      </c>
      <c r="AO391" s="232" t="e">
        <f t="shared" si="307"/>
        <v>#DIV/0!</v>
      </c>
      <c r="AP391" s="242" t="e">
        <f t="shared" si="308"/>
        <v>#DIV/0!</v>
      </c>
      <c r="AQ391" s="235" t="e">
        <f>IF(AP391+SUM($AQ$12:AQ390)&gt;=0,0,-AP391-SUM($AQ$12:AQ390))</f>
        <v>#DIV/0!</v>
      </c>
      <c r="AR391" s="235">
        <f>IF(SUM($N$13:N390)&gt;=pmo,IF(SUM(N390:$N$501)&gt;(1-pmo),B391,0),0)</f>
        <v>0</v>
      </c>
      <c r="AS391" s="235" t="e">
        <f>IF((SUM($U$13:$U390)/ntudv)&gt;=pmv,IF((SUM($U390:$U$501)/ntudv)&gt;(1-pmv),B391,0),0)</f>
        <v>#DIV/0!</v>
      </c>
      <c r="AT391" s="237" t="e">
        <f>IF(MAX(mmo,mmv)=mmo,IF(B391=AR391,(SUM(N$13:$N390)-pmo)/((1-VLOOKUP(MAX(mmo,mmv)-1,$B$13:$O$501,14))+(VLOOKUP(MAX(mmo,mmv)-1,$B$13:$O$501,14)-pmo)),N390/((1-VLOOKUP(MAX(mmo,mmv)-1,$B$13:$O$501,14)+(VLOOKUP(MAX(mmo,mmv)-1,$B$13:$O$501,14)-pmo)))),N390/(1-VLOOKUP(MAX(mmo,mmv)-2,$B$13:$O$501,14)))</f>
        <v>#DIV/0!</v>
      </c>
      <c r="AU391" s="101" t="e">
        <f t="shared" si="272"/>
        <v>#DIV/0!</v>
      </c>
      <c r="AV391" s="287" t="e">
        <f t="shared" si="273"/>
        <v>#DIV/0!</v>
      </c>
      <c r="AW391" s="235" t="e">
        <f t="shared" si="309"/>
        <v>#DIV/0!</v>
      </c>
      <c r="AX391" s="281">
        <f>IF(B391&gt;mpfo,0,IF(B391=mpfo,(vld-teo*(1+tcfo-incc)^(MAX(mmo,mmv)-mbfo))*-1,IF(SUM($N$13:N390)&gt;=pmo,IF(($V390/ntudv)&gt;=pmv,IF(B391=MAX(mmo,mmv),-teo*(1+tcfo-incc)^(B391-mbfo),0),0),0)))</f>
        <v>0</v>
      </c>
      <c r="AY391" s="292" t="e">
        <f t="shared" si="274"/>
        <v>#DIV/0!</v>
      </c>
      <c r="AZ391" s="235" t="e">
        <f t="shared" si="310"/>
        <v>#DIV/0!</v>
      </c>
      <c r="BA391" s="269" t="e">
        <f t="shared" si="311"/>
        <v>#DIV/0!</v>
      </c>
      <c r="BB391" s="292" t="e">
        <f t="shared" si="312"/>
        <v>#DIV/0!</v>
      </c>
      <c r="BC391" s="238" t="e">
        <f>IF(SUM($BC$13:BC390)&gt;0,0,IF(BB391&gt;0,B391,0))</f>
        <v>#DIV/0!</v>
      </c>
      <c r="BD391" s="292" t="e">
        <f>IF(BB391+SUM($BD$12:BD390)&gt;=0,0,-BB391-SUM($BD$12:BD390))</f>
        <v>#DIV/0!</v>
      </c>
      <c r="BE391" s="235" t="e">
        <f>BB391+SUM($BD$12:BD391)</f>
        <v>#DIV/0!</v>
      </c>
      <c r="BF391" s="292" t="e">
        <f>-MIN(BE391:$BE$501)-SUM(BF$12:$BF390)</f>
        <v>#DIV/0!</v>
      </c>
      <c r="BG391" s="235" t="e">
        <f t="shared" si="277"/>
        <v>#DIV/0!</v>
      </c>
    </row>
    <row r="392" spans="2:59">
      <c r="B392" s="246">
        <v>379</v>
      </c>
      <c r="C392" s="241">
        <f t="shared" si="276"/>
        <v>54214</v>
      </c>
      <c r="D392" s="229">
        <f t="shared" si="278"/>
        <v>6</v>
      </c>
      <c r="E392" s="230" t="str">
        <f t="shared" si="279"/>
        <v>-</v>
      </c>
      <c r="F392" s="231">
        <f t="shared" si="280"/>
        <v>0</v>
      </c>
      <c r="G392" s="231">
        <f t="shared" si="281"/>
        <v>0</v>
      </c>
      <c r="H392" s="231">
        <f t="shared" si="282"/>
        <v>0</v>
      </c>
      <c r="I392" s="268">
        <f t="shared" si="267"/>
        <v>0</v>
      </c>
      <c r="J392" s="269">
        <f t="shared" si="283"/>
        <v>0</v>
      </c>
      <c r="K392" s="269">
        <f t="shared" si="284"/>
        <v>0</v>
      </c>
      <c r="L392" s="269">
        <f t="shared" si="268"/>
        <v>0</v>
      </c>
      <c r="M392" s="269">
        <f t="shared" si="269"/>
        <v>0</v>
      </c>
      <c r="N392" s="233">
        <f>VLOOKUP(B392,Dados!$L$86:$P$90,5)</f>
        <v>0</v>
      </c>
      <c r="O392" s="270">
        <f t="shared" si="285"/>
        <v>0.99999999999999989</v>
      </c>
      <c r="P392" s="269">
        <f t="shared" si="286"/>
        <v>0</v>
      </c>
      <c r="Q392" s="269" t="e">
        <f t="shared" si="287"/>
        <v>#DIV/0!</v>
      </c>
      <c r="R392" s="269">
        <f t="shared" si="288"/>
        <v>0</v>
      </c>
      <c r="S392" s="269" t="e">
        <f t="shared" si="289"/>
        <v>#DIV/0!</v>
      </c>
      <c r="T392" s="269" t="e">
        <f t="shared" si="275"/>
        <v>#DIV/0!</v>
      </c>
      <c r="U392" s="234">
        <f t="shared" si="290"/>
        <v>0</v>
      </c>
      <c r="V392" s="232" t="e">
        <f t="shared" si="291"/>
        <v>#DIV/0!</v>
      </c>
      <c r="W392" s="269" t="e">
        <f t="shared" si="292"/>
        <v>#DIV/0!</v>
      </c>
      <c r="X392" s="235">
        <f t="shared" si="270"/>
        <v>0</v>
      </c>
      <c r="Y392" s="236">
        <f t="shared" si="293"/>
        <v>5</v>
      </c>
      <c r="Z392" s="236" t="e">
        <f t="shared" si="294"/>
        <v>#DIV/0!</v>
      </c>
      <c r="AA392" s="236">
        <f t="shared" si="295"/>
        <v>3</v>
      </c>
      <c r="AB392" s="236" t="e">
        <f t="shared" si="296"/>
        <v>#DIV/0!</v>
      </c>
      <c r="AC392" s="235">
        <f t="shared" si="297"/>
        <v>0</v>
      </c>
      <c r="AD392" s="235">
        <f t="shared" si="298"/>
        <v>0</v>
      </c>
      <c r="AE392" s="279">
        <f t="shared" si="299"/>
        <v>0</v>
      </c>
      <c r="AF392" s="232">
        <f t="shared" si="300"/>
        <v>1</v>
      </c>
      <c r="AG392" s="235">
        <f t="shared" si="301"/>
        <v>0</v>
      </c>
      <c r="AH392" s="269">
        <f t="shared" si="302"/>
        <v>0</v>
      </c>
      <c r="AI392" s="232">
        <f t="shared" si="303"/>
        <v>0</v>
      </c>
      <c r="AJ392" s="235">
        <f t="shared" si="304"/>
        <v>0</v>
      </c>
      <c r="AK392" s="269">
        <f t="shared" si="305"/>
        <v>0</v>
      </c>
      <c r="AL392" s="269">
        <f t="shared" si="271"/>
        <v>0</v>
      </c>
      <c r="AM392" s="281" t="e">
        <f>IF(B392&gt;=mpfo,pos*vvm*Dados!$E$122*(ntudv-SUM(U$301:$U393))-SUM($AM$13:AM391),0)</f>
        <v>#DIV/0!</v>
      </c>
      <c r="AN392" s="269" t="e">
        <f t="shared" si="306"/>
        <v>#DIV/0!</v>
      </c>
      <c r="AO392" s="232" t="e">
        <f t="shared" si="307"/>
        <v>#DIV/0!</v>
      </c>
      <c r="AP392" s="242" t="e">
        <f t="shared" si="308"/>
        <v>#DIV/0!</v>
      </c>
      <c r="AQ392" s="235" t="e">
        <f>IF(AP392+SUM($AQ$12:AQ391)&gt;=0,0,-AP392-SUM($AQ$12:AQ391))</f>
        <v>#DIV/0!</v>
      </c>
      <c r="AR392" s="235">
        <f>IF(SUM($N$13:N391)&gt;=pmo,IF(SUM(N391:$N$501)&gt;(1-pmo),B392,0),0)</f>
        <v>0</v>
      </c>
      <c r="AS392" s="235" t="e">
        <f>IF((SUM($U$13:$U391)/ntudv)&gt;=pmv,IF((SUM($U391:$U$501)/ntudv)&gt;(1-pmv),B392,0),0)</f>
        <v>#DIV/0!</v>
      </c>
      <c r="AT392" s="237" t="e">
        <f>IF(MAX(mmo,mmv)=mmo,IF(B392=AR392,(SUM(N$13:$N391)-pmo)/((1-VLOOKUP(MAX(mmo,mmv)-1,$B$13:$O$501,14))+(VLOOKUP(MAX(mmo,mmv)-1,$B$13:$O$501,14)-pmo)),N391/((1-VLOOKUP(MAX(mmo,mmv)-1,$B$13:$O$501,14)+(VLOOKUP(MAX(mmo,mmv)-1,$B$13:$O$501,14)-pmo)))),N391/(1-VLOOKUP(MAX(mmo,mmv)-2,$B$13:$O$501,14)))</f>
        <v>#DIV/0!</v>
      </c>
      <c r="AU392" s="101" t="e">
        <f t="shared" si="272"/>
        <v>#DIV/0!</v>
      </c>
      <c r="AV392" s="287" t="e">
        <f t="shared" si="273"/>
        <v>#DIV/0!</v>
      </c>
      <c r="AW392" s="235" t="e">
        <f t="shared" si="309"/>
        <v>#DIV/0!</v>
      </c>
      <c r="AX392" s="281">
        <f>IF(B392&gt;mpfo,0,IF(B392=mpfo,(vld-teo*(1+tcfo-incc)^(MAX(mmo,mmv)-mbfo))*-1,IF(SUM($N$13:N391)&gt;=pmo,IF(($V391/ntudv)&gt;=pmv,IF(B392=MAX(mmo,mmv),-teo*(1+tcfo-incc)^(B392-mbfo),0),0),0)))</f>
        <v>0</v>
      </c>
      <c r="AY392" s="292" t="e">
        <f t="shared" si="274"/>
        <v>#DIV/0!</v>
      </c>
      <c r="AZ392" s="235" t="e">
        <f t="shared" si="310"/>
        <v>#DIV/0!</v>
      </c>
      <c r="BA392" s="269" t="e">
        <f t="shared" si="311"/>
        <v>#DIV/0!</v>
      </c>
      <c r="BB392" s="292" t="e">
        <f t="shared" si="312"/>
        <v>#DIV/0!</v>
      </c>
      <c r="BC392" s="238" t="e">
        <f>IF(SUM($BC$13:BC391)&gt;0,0,IF(BB392&gt;0,B392,0))</f>
        <v>#DIV/0!</v>
      </c>
      <c r="BD392" s="292" t="e">
        <f>IF(BB392+SUM($BD$12:BD391)&gt;=0,0,-BB392-SUM($BD$12:BD391))</f>
        <v>#DIV/0!</v>
      </c>
      <c r="BE392" s="235" t="e">
        <f>BB392+SUM($BD$12:BD392)</f>
        <v>#DIV/0!</v>
      </c>
      <c r="BF392" s="292" t="e">
        <f>-MIN(BE392:$BE$501)-SUM(BF$12:$BF391)</f>
        <v>#DIV/0!</v>
      </c>
      <c r="BG392" s="235" t="e">
        <f t="shared" si="277"/>
        <v>#DIV/0!</v>
      </c>
    </row>
    <row r="393" spans="2:59">
      <c r="B393" s="120">
        <v>380</v>
      </c>
      <c r="C393" s="241">
        <f t="shared" si="276"/>
        <v>54244</v>
      </c>
      <c r="D393" s="229">
        <f t="shared" si="278"/>
        <v>7</v>
      </c>
      <c r="E393" s="230" t="str">
        <f t="shared" si="279"/>
        <v>-</v>
      </c>
      <c r="F393" s="231">
        <f t="shared" si="280"/>
        <v>0</v>
      </c>
      <c r="G393" s="231">
        <f t="shared" si="281"/>
        <v>0</v>
      </c>
      <c r="H393" s="231">
        <f t="shared" si="282"/>
        <v>0</v>
      </c>
      <c r="I393" s="268">
        <f t="shared" si="267"/>
        <v>0</v>
      </c>
      <c r="J393" s="269">
        <f t="shared" si="283"/>
        <v>0</v>
      </c>
      <c r="K393" s="269">
        <f t="shared" si="284"/>
        <v>0</v>
      </c>
      <c r="L393" s="269">
        <f t="shared" si="268"/>
        <v>0</v>
      </c>
      <c r="M393" s="269">
        <f t="shared" si="269"/>
        <v>0</v>
      </c>
      <c r="N393" s="233">
        <f>VLOOKUP(B393,Dados!$L$86:$P$90,5)</f>
        <v>0</v>
      </c>
      <c r="O393" s="270">
        <f t="shared" si="285"/>
        <v>0.99999999999999989</v>
      </c>
      <c r="P393" s="269">
        <f t="shared" si="286"/>
        <v>0</v>
      </c>
      <c r="Q393" s="269" t="e">
        <f t="shared" si="287"/>
        <v>#DIV/0!</v>
      </c>
      <c r="R393" s="269">
        <f t="shared" si="288"/>
        <v>0</v>
      </c>
      <c r="S393" s="269" t="e">
        <f t="shared" si="289"/>
        <v>#DIV/0!</v>
      </c>
      <c r="T393" s="269" t="e">
        <f t="shared" si="275"/>
        <v>#DIV/0!</v>
      </c>
      <c r="U393" s="234">
        <f t="shared" si="290"/>
        <v>0</v>
      </c>
      <c r="V393" s="232" t="e">
        <f t="shared" si="291"/>
        <v>#DIV/0!</v>
      </c>
      <c r="W393" s="269" t="e">
        <f t="shared" si="292"/>
        <v>#DIV/0!</v>
      </c>
      <c r="X393" s="235">
        <f t="shared" si="270"/>
        <v>0</v>
      </c>
      <c r="Y393" s="236">
        <f t="shared" si="293"/>
        <v>5</v>
      </c>
      <c r="Z393" s="236" t="e">
        <f t="shared" si="294"/>
        <v>#DIV/0!</v>
      </c>
      <c r="AA393" s="236">
        <f t="shared" si="295"/>
        <v>3</v>
      </c>
      <c r="AB393" s="236" t="e">
        <f t="shared" si="296"/>
        <v>#DIV/0!</v>
      </c>
      <c r="AC393" s="235">
        <f t="shared" si="297"/>
        <v>0</v>
      </c>
      <c r="AD393" s="235">
        <f t="shared" si="298"/>
        <v>0</v>
      </c>
      <c r="AE393" s="279">
        <f t="shared" si="299"/>
        <v>0</v>
      </c>
      <c r="AF393" s="232">
        <f t="shared" si="300"/>
        <v>0</v>
      </c>
      <c r="AG393" s="235">
        <f t="shared" si="301"/>
        <v>0</v>
      </c>
      <c r="AH393" s="269">
        <f t="shared" si="302"/>
        <v>0</v>
      </c>
      <c r="AI393" s="232">
        <f t="shared" si="303"/>
        <v>0</v>
      </c>
      <c r="AJ393" s="235">
        <f t="shared" si="304"/>
        <v>0</v>
      </c>
      <c r="AK393" s="269">
        <f t="shared" si="305"/>
        <v>0</v>
      </c>
      <c r="AL393" s="269">
        <f t="shared" si="271"/>
        <v>0</v>
      </c>
      <c r="AM393" s="281" t="e">
        <f>IF(B393&gt;=mpfo,pos*vvm*Dados!$E$122*(ntudv-SUM(U$301:$U394))-SUM($AM$13:AM392),0)</f>
        <v>#DIV/0!</v>
      </c>
      <c r="AN393" s="269" t="e">
        <f t="shared" si="306"/>
        <v>#DIV/0!</v>
      </c>
      <c r="AO393" s="232" t="e">
        <f t="shared" si="307"/>
        <v>#DIV/0!</v>
      </c>
      <c r="AP393" s="242" t="e">
        <f t="shared" si="308"/>
        <v>#DIV/0!</v>
      </c>
      <c r="AQ393" s="235" t="e">
        <f>IF(AP393+SUM($AQ$12:AQ392)&gt;=0,0,-AP393-SUM($AQ$12:AQ392))</f>
        <v>#DIV/0!</v>
      </c>
      <c r="AR393" s="235">
        <f>IF(SUM($N$13:N392)&gt;=pmo,IF(SUM(N392:$N$501)&gt;(1-pmo),B393,0),0)</f>
        <v>0</v>
      </c>
      <c r="AS393" s="235" t="e">
        <f>IF((SUM($U$13:$U392)/ntudv)&gt;=pmv,IF((SUM($U392:$U$501)/ntudv)&gt;(1-pmv),B393,0),0)</f>
        <v>#DIV/0!</v>
      </c>
      <c r="AT393" s="237" t="e">
        <f>IF(MAX(mmo,mmv)=mmo,IF(B393=AR393,(SUM(N$13:$N392)-pmo)/((1-VLOOKUP(MAX(mmo,mmv)-1,$B$13:$O$501,14))+(VLOOKUP(MAX(mmo,mmv)-1,$B$13:$O$501,14)-pmo)),N392/((1-VLOOKUP(MAX(mmo,mmv)-1,$B$13:$O$501,14)+(VLOOKUP(MAX(mmo,mmv)-1,$B$13:$O$501,14)-pmo)))),N392/(1-VLOOKUP(MAX(mmo,mmv)-2,$B$13:$O$501,14)))</f>
        <v>#DIV/0!</v>
      </c>
      <c r="AU393" s="101" t="e">
        <f t="shared" si="272"/>
        <v>#DIV/0!</v>
      </c>
      <c r="AV393" s="287" t="e">
        <f t="shared" si="273"/>
        <v>#DIV/0!</v>
      </c>
      <c r="AW393" s="235" t="e">
        <f t="shared" si="309"/>
        <v>#DIV/0!</v>
      </c>
      <c r="AX393" s="281">
        <f>IF(B393&gt;mpfo,0,IF(B393=mpfo,(vld-teo*(1+tcfo-incc)^(MAX(mmo,mmv)-mbfo))*-1,IF(SUM($N$13:N392)&gt;=pmo,IF(($V392/ntudv)&gt;=pmv,IF(B393=MAX(mmo,mmv),-teo*(1+tcfo-incc)^(B393-mbfo),0),0),0)))</f>
        <v>0</v>
      </c>
      <c r="AY393" s="292" t="e">
        <f t="shared" si="274"/>
        <v>#DIV/0!</v>
      </c>
      <c r="AZ393" s="235" t="e">
        <f t="shared" si="310"/>
        <v>#DIV/0!</v>
      </c>
      <c r="BA393" s="269" t="e">
        <f t="shared" si="311"/>
        <v>#DIV/0!</v>
      </c>
      <c r="BB393" s="292" t="e">
        <f t="shared" si="312"/>
        <v>#DIV/0!</v>
      </c>
      <c r="BC393" s="238" t="e">
        <f>IF(SUM($BC$13:BC392)&gt;0,0,IF(BB393&gt;0,B393,0))</f>
        <v>#DIV/0!</v>
      </c>
      <c r="BD393" s="292" t="e">
        <f>IF(BB393+SUM($BD$12:BD392)&gt;=0,0,-BB393-SUM($BD$12:BD392))</f>
        <v>#DIV/0!</v>
      </c>
      <c r="BE393" s="235" t="e">
        <f>BB393+SUM($BD$12:BD393)</f>
        <v>#DIV/0!</v>
      </c>
      <c r="BF393" s="292" t="e">
        <f>-MIN(BE393:$BE$501)-SUM(BF$12:$BF392)</f>
        <v>#DIV/0!</v>
      </c>
      <c r="BG393" s="235" t="e">
        <f t="shared" si="277"/>
        <v>#DIV/0!</v>
      </c>
    </row>
    <row r="394" spans="2:59">
      <c r="B394" s="246">
        <v>381</v>
      </c>
      <c r="C394" s="241">
        <f t="shared" si="276"/>
        <v>54275</v>
      </c>
      <c r="D394" s="229">
        <f t="shared" si="278"/>
        <v>8</v>
      </c>
      <c r="E394" s="230" t="str">
        <f t="shared" si="279"/>
        <v>-</v>
      </c>
      <c r="F394" s="231">
        <f t="shared" si="280"/>
        <v>0</v>
      </c>
      <c r="G394" s="231">
        <f t="shared" si="281"/>
        <v>0</v>
      </c>
      <c r="H394" s="231">
        <f t="shared" si="282"/>
        <v>0</v>
      </c>
      <c r="I394" s="268">
        <f t="shared" si="267"/>
        <v>0</v>
      </c>
      <c r="J394" s="269">
        <f t="shared" si="283"/>
        <v>0</v>
      </c>
      <c r="K394" s="269">
        <f t="shared" si="284"/>
        <v>0</v>
      </c>
      <c r="L394" s="269">
        <f t="shared" si="268"/>
        <v>0</v>
      </c>
      <c r="M394" s="269">
        <f t="shared" si="269"/>
        <v>0</v>
      </c>
      <c r="N394" s="233">
        <f>VLOOKUP(B394,Dados!$L$86:$P$90,5)</f>
        <v>0</v>
      </c>
      <c r="O394" s="270">
        <f t="shared" si="285"/>
        <v>0.99999999999999989</v>
      </c>
      <c r="P394" s="269">
        <f t="shared" si="286"/>
        <v>0</v>
      </c>
      <c r="Q394" s="269" t="e">
        <f t="shared" si="287"/>
        <v>#DIV/0!</v>
      </c>
      <c r="R394" s="269">
        <f t="shared" si="288"/>
        <v>0</v>
      </c>
      <c r="S394" s="269" t="e">
        <f t="shared" si="289"/>
        <v>#DIV/0!</v>
      </c>
      <c r="T394" s="269" t="e">
        <f t="shared" si="275"/>
        <v>#DIV/0!</v>
      </c>
      <c r="U394" s="234">
        <f t="shared" si="290"/>
        <v>0</v>
      </c>
      <c r="V394" s="232" t="e">
        <f t="shared" si="291"/>
        <v>#DIV/0!</v>
      </c>
      <c r="W394" s="269" t="e">
        <f t="shared" si="292"/>
        <v>#DIV/0!</v>
      </c>
      <c r="X394" s="235">
        <f t="shared" si="270"/>
        <v>0</v>
      </c>
      <c r="Y394" s="236">
        <f t="shared" si="293"/>
        <v>5</v>
      </c>
      <c r="Z394" s="236" t="e">
        <f t="shared" si="294"/>
        <v>#DIV/0!</v>
      </c>
      <c r="AA394" s="236">
        <f t="shared" si="295"/>
        <v>3</v>
      </c>
      <c r="AB394" s="236" t="e">
        <f t="shared" si="296"/>
        <v>#DIV/0!</v>
      </c>
      <c r="AC394" s="235">
        <f t="shared" si="297"/>
        <v>0</v>
      </c>
      <c r="AD394" s="235">
        <f t="shared" si="298"/>
        <v>0</v>
      </c>
      <c r="AE394" s="279">
        <f t="shared" si="299"/>
        <v>0</v>
      </c>
      <c r="AF394" s="232">
        <f t="shared" si="300"/>
        <v>0</v>
      </c>
      <c r="AG394" s="235">
        <f t="shared" si="301"/>
        <v>0</v>
      </c>
      <c r="AH394" s="269">
        <f t="shared" si="302"/>
        <v>0</v>
      </c>
      <c r="AI394" s="232">
        <f t="shared" si="303"/>
        <v>0</v>
      </c>
      <c r="AJ394" s="235">
        <f t="shared" si="304"/>
        <v>0</v>
      </c>
      <c r="AK394" s="269">
        <f t="shared" si="305"/>
        <v>0</v>
      </c>
      <c r="AL394" s="269">
        <f t="shared" si="271"/>
        <v>0</v>
      </c>
      <c r="AM394" s="281" t="e">
        <f>IF(B394&gt;=mpfo,pos*vvm*Dados!$E$122*(ntudv-SUM(U$301:$U395))-SUM($AM$13:AM393),0)</f>
        <v>#DIV/0!</v>
      </c>
      <c r="AN394" s="269" t="e">
        <f t="shared" si="306"/>
        <v>#DIV/0!</v>
      </c>
      <c r="AO394" s="232" t="e">
        <f t="shared" si="307"/>
        <v>#DIV/0!</v>
      </c>
      <c r="AP394" s="242" t="e">
        <f t="shared" si="308"/>
        <v>#DIV/0!</v>
      </c>
      <c r="AQ394" s="235" t="e">
        <f>IF(AP394+SUM($AQ$12:AQ393)&gt;=0,0,-AP394-SUM($AQ$12:AQ393))</f>
        <v>#DIV/0!</v>
      </c>
      <c r="AR394" s="235">
        <f>IF(SUM($N$13:N393)&gt;=pmo,IF(SUM(N393:$N$501)&gt;(1-pmo),B394,0),0)</f>
        <v>0</v>
      </c>
      <c r="AS394" s="235" t="e">
        <f>IF((SUM($U$13:$U393)/ntudv)&gt;=pmv,IF((SUM($U393:$U$501)/ntudv)&gt;(1-pmv),B394,0),0)</f>
        <v>#DIV/0!</v>
      </c>
      <c r="AT394" s="237" t="e">
        <f>IF(MAX(mmo,mmv)=mmo,IF(B394=AR394,(SUM(N$13:$N393)-pmo)/((1-VLOOKUP(MAX(mmo,mmv)-1,$B$13:$O$501,14))+(VLOOKUP(MAX(mmo,mmv)-1,$B$13:$O$501,14)-pmo)),N393/((1-VLOOKUP(MAX(mmo,mmv)-1,$B$13:$O$501,14)+(VLOOKUP(MAX(mmo,mmv)-1,$B$13:$O$501,14)-pmo)))),N393/(1-VLOOKUP(MAX(mmo,mmv)-2,$B$13:$O$501,14)))</f>
        <v>#DIV/0!</v>
      </c>
      <c r="AU394" s="101" t="e">
        <f t="shared" si="272"/>
        <v>#DIV/0!</v>
      </c>
      <c r="AV394" s="287" t="e">
        <f t="shared" si="273"/>
        <v>#DIV/0!</v>
      </c>
      <c r="AW394" s="235" t="e">
        <f t="shared" si="309"/>
        <v>#DIV/0!</v>
      </c>
      <c r="AX394" s="281">
        <f>IF(B394&gt;mpfo,0,IF(B394=mpfo,(vld-teo*(1+tcfo-incc)^(MAX(mmo,mmv)-mbfo))*-1,IF(SUM($N$13:N393)&gt;=pmo,IF(($V393/ntudv)&gt;=pmv,IF(B394=MAX(mmo,mmv),-teo*(1+tcfo-incc)^(B394-mbfo),0),0),0)))</f>
        <v>0</v>
      </c>
      <c r="AY394" s="292" t="e">
        <f t="shared" si="274"/>
        <v>#DIV/0!</v>
      </c>
      <c r="AZ394" s="235" t="e">
        <f t="shared" si="310"/>
        <v>#DIV/0!</v>
      </c>
      <c r="BA394" s="269" t="e">
        <f t="shared" si="311"/>
        <v>#DIV/0!</v>
      </c>
      <c r="BB394" s="292" t="e">
        <f t="shared" si="312"/>
        <v>#DIV/0!</v>
      </c>
      <c r="BC394" s="238" t="e">
        <f>IF(SUM($BC$13:BC393)&gt;0,0,IF(BB394&gt;0,B394,0))</f>
        <v>#DIV/0!</v>
      </c>
      <c r="BD394" s="292" t="e">
        <f>IF(BB394+SUM($BD$12:BD393)&gt;=0,0,-BB394-SUM($BD$12:BD393))</f>
        <v>#DIV/0!</v>
      </c>
      <c r="BE394" s="235" t="e">
        <f>BB394+SUM($BD$12:BD394)</f>
        <v>#DIV/0!</v>
      </c>
      <c r="BF394" s="292" t="e">
        <f>-MIN(BE394:$BE$501)-SUM(BF$12:$BF393)</f>
        <v>#DIV/0!</v>
      </c>
      <c r="BG394" s="235" t="e">
        <f t="shared" si="277"/>
        <v>#DIV/0!</v>
      </c>
    </row>
    <row r="395" spans="2:59">
      <c r="B395" s="120">
        <v>382</v>
      </c>
      <c r="C395" s="241">
        <f t="shared" si="276"/>
        <v>54306</v>
      </c>
      <c r="D395" s="229">
        <f t="shared" si="278"/>
        <v>9</v>
      </c>
      <c r="E395" s="230" t="str">
        <f t="shared" si="279"/>
        <v>-</v>
      </c>
      <c r="F395" s="231">
        <f t="shared" si="280"/>
        <v>0</v>
      </c>
      <c r="G395" s="231">
        <f t="shared" si="281"/>
        <v>0</v>
      </c>
      <c r="H395" s="231">
        <f t="shared" si="282"/>
        <v>0</v>
      </c>
      <c r="I395" s="268">
        <f t="shared" si="267"/>
        <v>0</v>
      </c>
      <c r="J395" s="269">
        <f t="shared" si="283"/>
        <v>0</v>
      </c>
      <c r="K395" s="269">
        <f t="shared" si="284"/>
        <v>0</v>
      </c>
      <c r="L395" s="269">
        <f t="shared" si="268"/>
        <v>0</v>
      </c>
      <c r="M395" s="269">
        <f t="shared" si="269"/>
        <v>0</v>
      </c>
      <c r="N395" s="233">
        <f>VLOOKUP(B395,Dados!$L$86:$P$90,5)</f>
        <v>0</v>
      </c>
      <c r="O395" s="270">
        <f t="shared" si="285"/>
        <v>0.99999999999999989</v>
      </c>
      <c r="P395" s="269">
        <f t="shared" si="286"/>
        <v>0</v>
      </c>
      <c r="Q395" s="269" t="e">
        <f t="shared" si="287"/>
        <v>#DIV/0!</v>
      </c>
      <c r="R395" s="269">
        <f t="shared" si="288"/>
        <v>0</v>
      </c>
      <c r="S395" s="269" t="e">
        <f t="shared" si="289"/>
        <v>#DIV/0!</v>
      </c>
      <c r="T395" s="269" t="e">
        <f t="shared" si="275"/>
        <v>#DIV/0!</v>
      </c>
      <c r="U395" s="234">
        <f t="shared" si="290"/>
        <v>0</v>
      </c>
      <c r="V395" s="232" t="e">
        <f t="shared" si="291"/>
        <v>#DIV/0!</v>
      </c>
      <c r="W395" s="269" t="e">
        <f t="shared" si="292"/>
        <v>#DIV/0!</v>
      </c>
      <c r="X395" s="235">
        <f t="shared" si="270"/>
        <v>0</v>
      </c>
      <c r="Y395" s="236">
        <f t="shared" si="293"/>
        <v>5</v>
      </c>
      <c r="Z395" s="236" t="e">
        <f t="shared" si="294"/>
        <v>#DIV/0!</v>
      </c>
      <c r="AA395" s="236">
        <f t="shared" si="295"/>
        <v>3</v>
      </c>
      <c r="AB395" s="236" t="e">
        <f t="shared" si="296"/>
        <v>#DIV/0!</v>
      </c>
      <c r="AC395" s="235">
        <f t="shared" si="297"/>
        <v>0</v>
      </c>
      <c r="AD395" s="235">
        <f t="shared" si="298"/>
        <v>0</v>
      </c>
      <c r="AE395" s="279">
        <f t="shared" si="299"/>
        <v>0</v>
      </c>
      <c r="AF395" s="232">
        <f t="shared" si="300"/>
        <v>0</v>
      </c>
      <c r="AG395" s="235">
        <f t="shared" si="301"/>
        <v>0</v>
      </c>
      <c r="AH395" s="269">
        <f t="shared" si="302"/>
        <v>0</v>
      </c>
      <c r="AI395" s="232">
        <f t="shared" si="303"/>
        <v>0</v>
      </c>
      <c r="AJ395" s="235">
        <f t="shared" si="304"/>
        <v>0</v>
      </c>
      <c r="AK395" s="269">
        <f t="shared" si="305"/>
        <v>0</v>
      </c>
      <c r="AL395" s="269">
        <f t="shared" si="271"/>
        <v>0</v>
      </c>
      <c r="AM395" s="281" t="e">
        <f>IF(B395&gt;=mpfo,pos*vvm*Dados!$E$122*(ntudv-SUM(U$301:$U396))-SUM($AM$13:AM394),0)</f>
        <v>#DIV/0!</v>
      </c>
      <c r="AN395" s="269" t="e">
        <f t="shared" si="306"/>
        <v>#DIV/0!</v>
      </c>
      <c r="AO395" s="232" t="e">
        <f t="shared" si="307"/>
        <v>#DIV/0!</v>
      </c>
      <c r="AP395" s="242" t="e">
        <f t="shared" si="308"/>
        <v>#DIV/0!</v>
      </c>
      <c r="AQ395" s="235" t="e">
        <f>IF(AP395+SUM($AQ$12:AQ394)&gt;=0,0,-AP395-SUM($AQ$12:AQ394))</f>
        <v>#DIV/0!</v>
      </c>
      <c r="AR395" s="235">
        <f>IF(SUM($N$13:N394)&gt;=pmo,IF(SUM(N394:$N$501)&gt;(1-pmo),B395,0),0)</f>
        <v>0</v>
      </c>
      <c r="AS395" s="235" t="e">
        <f>IF((SUM($U$13:$U394)/ntudv)&gt;=pmv,IF((SUM($U394:$U$501)/ntudv)&gt;(1-pmv),B395,0),0)</f>
        <v>#DIV/0!</v>
      </c>
      <c r="AT395" s="237" t="e">
        <f>IF(MAX(mmo,mmv)=mmo,IF(B395=AR395,(SUM(N$13:$N394)-pmo)/((1-VLOOKUP(MAX(mmo,mmv)-1,$B$13:$O$501,14))+(VLOOKUP(MAX(mmo,mmv)-1,$B$13:$O$501,14)-pmo)),N394/((1-VLOOKUP(MAX(mmo,mmv)-1,$B$13:$O$501,14)+(VLOOKUP(MAX(mmo,mmv)-1,$B$13:$O$501,14)-pmo)))),N394/(1-VLOOKUP(MAX(mmo,mmv)-2,$B$13:$O$501,14)))</f>
        <v>#DIV/0!</v>
      </c>
      <c r="AU395" s="101" t="e">
        <f t="shared" si="272"/>
        <v>#DIV/0!</v>
      </c>
      <c r="AV395" s="287" t="e">
        <f t="shared" si="273"/>
        <v>#DIV/0!</v>
      </c>
      <c r="AW395" s="235" t="e">
        <f t="shared" si="309"/>
        <v>#DIV/0!</v>
      </c>
      <c r="AX395" s="281">
        <f>IF(B395&gt;mpfo,0,IF(B395=mpfo,(vld-teo*(1+tcfo-incc)^(MAX(mmo,mmv)-mbfo))*-1,IF(SUM($N$13:N394)&gt;=pmo,IF(($V394/ntudv)&gt;=pmv,IF(B395=MAX(mmo,mmv),-teo*(1+tcfo-incc)^(B395-mbfo),0),0),0)))</f>
        <v>0</v>
      </c>
      <c r="AY395" s="292" t="e">
        <f t="shared" si="274"/>
        <v>#DIV/0!</v>
      </c>
      <c r="AZ395" s="235" t="e">
        <f t="shared" si="310"/>
        <v>#DIV/0!</v>
      </c>
      <c r="BA395" s="269" t="e">
        <f t="shared" si="311"/>
        <v>#DIV/0!</v>
      </c>
      <c r="BB395" s="292" t="e">
        <f t="shared" si="312"/>
        <v>#DIV/0!</v>
      </c>
      <c r="BC395" s="238" t="e">
        <f>IF(SUM($BC$13:BC394)&gt;0,0,IF(BB395&gt;0,B395,0))</f>
        <v>#DIV/0!</v>
      </c>
      <c r="BD395" s="292" t="e">
        <f>IF(BB395+SUM($BD$12:BD394)&gt;=0,0,-BB395-SUM($BD$12:BD394))</f>
        <v>#DIV/0!</v>
      </c>
      <c r="BE395" s="235" t="e">
        <f>BB395+SUM($BD$12:BD395)</f>
        <v>#DIV/0!</v>
      </c>
      <c r="BF395" s="292" t="e">
        <f>-MIN(BE395:$BE$501)-SUM(BF$12:$BF394)</f>
        <v>#DIV/0!</v>
      </c>
      <c r="BG395" s="235" t="e">
        <f t="shared" si="277"/>
        <v>#DIV/0!</v>
      </c>
    </row>
    <row r="396" spans="2:59">
      <c r="B396" s="246">
        <v>383</v>
      </c>
      <c r="C396" s="241">
        <f t="shared" si="276"/>
        <v>54336</v>
      </c>
      <c r="D396" s="229">
        <f t="shared" si="278"/>
        <v>10</v>
      </c>
      <c r="E396" s="230" t="str">
        <f t="shared" si="279"/>
        <v>-</v>
      </c>
      <c r="F396" s="231">
        <f t="shared" si="280"/>
        <v>0</v>
      </c>
      <c r="G396" s="231">
        <f t="shared" si="281"/>
        <v>0</v>
      </c>
      <c r="H396" s="231">
        <f t="shared" si="282"/>
        <v>0</v>
      </c>
      <c r="I396" s="268">
        <f t="shared" si="267"/>
        <v>0</v>
      </c>
      <c r="J396" s="269">
        <f t="shared" si="283"/>
        <v>0</v>
      </c>
      <c r="K396" s="269">
        <f t="shared" si="284"/>
        <v>0</v>
      </c>
      <c r="L396" s="269">
        <f t="shared" si="268"/>
        <v>0</v>
      </c>
      <c r="M396" s="269">
        <f t="shared" si="269"/>
        <v>0</v>
      </c>
      <c r="N396" s="233">
        <f>VLOOKUP(B396,Dados!$L$86:$P$90,5)</f>
        <v>0</v>
      </c>
      <c r="O396" s="270">
        <f t="shared" si="285"/>
        <v>0.99999999999999989</v>
      </c>
      <c r="P396" s="269">
        <f t="shared" si="286"/>
        <v>0</v>
      </c>
      <c r="Q396" s="269" t="e">
        <f t="shared" si="287"/>
        <v>#DIV/0!</v>
      </c>
      <c r="R396" s="269">
        <f t="shared" si="288"/>
        <v>0</v>
      </c>
      <c r="S396" s="269" t="e">
        <f t="shared" si="289"/>
        <v>#DIV/0!</v>
      </c>
      <c r="T396" s="269" t="e">
        <f t="shared" si="275"/>
        <v>#DIV/0!</v>
      </c>
      <c r="U396" s="234">
        <f t="shared" si="290"/>
        <v>0</v>
      </c>
      <c r="V396" s="232" t="e">
        <f t="shared" si="291"/>
        <v>#DIV/0!</v>
      </c>
      <c r="W396" s="269" t="e">
        <f t="shared" si="292"/>
        <v>#DIV/0!</v>
      </c>
      <c r="X396" s="235">
        <f t="shared" si="270"/>
        <v>0</v>
      </c>
      <c r="Y396" s="236">
        <f t="shared" si="293"/>
        <v>5</v>
      </c>
      <c r="Z396" s="236" t="e">
        <f t="shared" si="294"/>
        <v>#DIV/0!</v>
      </c>
      <c r="AA396" s="236">
        <f t="shared" si="295"/>
        <v>3</v>
      </c>
      <c r="AB396" s="236" t="e">
        <f t="shared" si="296"/>
        <v>#DIV/0!</v>
      </c>
      <c r="AC396" s="235">
        <f t="shared" si="297"/>
        <v>0</v>
      </c>
      <c r="AD396" s="235">
        <f t="shared" si="298"/>
        <v>0</v>
      </c>
      <c r="AE396" s="279">
        <f t="shared" si="299"/>
        <v>0</v>
      </c>
      <c r="AF396" s="232">
        <f t="shared" si="300"/>
        <v>0</v>
      </c>
      <c r="AG396" s="235">
        <f t="shared" si="301"/>
        <v>0</v>
      </c>
      <c r="AH396" s="269">
        <f t="shared" si="302"/>
        <v>0</v>
      </c>
      <c r="AI396" s="232">
        <f t="shared" si="303"/>
        <v>0</v>
      </c>
      <c r="AJ396" s="235">
        <f t="shared" si="304"/>
        <v>0</v>
      </c>
      <c r="AK396" s="269">
        <f t="shared" si="305"/>
        <v>0</v>
      </c>
      <c r="AL396" s="269">
        <f t="shared" si="271"/>
        <v>0</v>
      </c>
      <c r="AM396" s="281" t="e">
        <f>IF(B396&gt;=mpfo,pos*vvm*Dados!$E$122*(ntudv-SUM(U$301:$U397))-SUM($AM$13:AM395),0)</f>
        <v>#DIV/0!</v>
      </c>
      <c r="AN396" s="269" t="e">
        <f t="shared" si="306"/>
        <v>#DIV/0!</v>
      </c>
      <c r="AO396" s="232" t="e">
        <f t="shared" si="307"/>
        <v>#DIV/0!</v>
      </c>
      <c r="AP396" s="242" t="e">
        <f t="shared" si="308"/>
        <v>#DIV/0!</v>
      </c>
      <c r="AQ396" s="235" t="e">
        <f>IF(AP396+SUM($AQ$12:AQ395)&gt;=0,0,-AP396-SUM($AQ$12:AQ395))</f>
        <v>#DIV/0!</v>
      </c>
      <c r="AR396" s="235">
        <f>IF(SUM($N$13:N395)&gt;=pmo,IF(SUM(N395:$N$501)&gt;(1-pmo),B396,0),0)</f>
        <v>0</v>
      </c>
      <c r="AS396" s="235" t="e">
        <f>IF((SUM($U$13:$U395)/ntudv)&gt;=pmv,IF((SUM($U395:$U$501)/ntudv)&gt;(1-pmv),B396,0),0)</f>
        <v>#DIV/0!</v>
      </c>
      <c r="AT396" s="237" t="e">
        <f>IF(MAX(mmo,mmv)=mmo,IF(B396=AR396,(SUM(N$13:$N395)-pmo)/((1-VLOOKUP(MAX(mmo,mmv)-1,$B$13:$O$501,14))+(VLOOKUP(MAX(mmo,mmv)-1,$B$13:$O$501,14)-pmo)),N395/((1-VLOOKUP(MAX(mmo,mmv)-1,$B$13:$O$501,14)+(VLOOKUP(MAX(mmo,mmv)-1,$B$13:$O$501,14)-pmo)))),N395/(1-VLOOKUP(MAX(mmo,mmv)-2,$B$13:$O$501,14)))</f>
        <v>#DIV/0!</v>
      </c>
      <c r="AU396" s="101" t="e">
        <f t="shared" si="272"/>
        <v>#DIV/0!</v>
      </c>
      <c r="AV396" s="287" t="e">
        <f t="shared" si="273"/>
        <v>#DIV/0!</v>
      </c>
      <c r="AW396" s="235" t="e">
        <f t="shared" si="309"/>
        <v>#DIV/0!</v>
      </c>
      <c r="AX396" s="281">
        <f>IF(B396&gt;mpfo,0,IF(B396=mpfo,(vld-teo*(1+tcfo-incc)^(MAX(mmo,mmv)-mbfo))*-1,IF(SUM($N$13:N395)&gt;=pmo,IF(($V395/ntudv)&gt;=pmv,IF(B396=MAX(mmo,mmv),-teo*(1+tcfo-incc)^(B396-mbfo),0),0),0)))</f>
        <v>0</v>
      </c>
      <c r="AY396" s="292" t="e">
        <f t="shared" si="274"/>
        <v>#DIV/0!</v>
      </c>
      <c r="AZ396" s="235" t="e">
        <f t="shared" si="310"/>
        <v>#DIV/0!</v>
      </c>
      <c r="BA396" s="269" t="e">
        <f t="shared" si="311"/>
        <v>#DIV/0!</v>
      </c>
      <c r="BB396" s="292" t="e">
        <f t="shared" si="312"/>
        <v>#DIV/0!</v>
      </c>
      <c r="BC396" s="238" t="e">
        <f>IF(SUM($BC$13:BC395)&gt;0,0,IF(BB396&gt;0,B396,0))</f>
        <v>#DIV/0!</v>
      </c>
      <c r="BD396" s="292" t="e">
        <f>IF(BB396+SUM($BD$12:BD395)&gt;=0,0,-BB396-SUM($BD$12:BD395))</f>
        <v>#DIV/0!</v>
      </c>
      <c r="BE396" s="235" t="e">
        <f>BB396+SUM($BD$12:BD396)</f>
        <v>#DIV/0!</v>
      </c>
      <c r="BF396" s="292" t="e">
        <f>-MIN(BE396:$BE$501)-SUM(BF$12:$BF395)</f>
        <v>#DIV/0!</v>
      </c>
      <c r="BG396" s="235" t="e">
        <f t="shared" si="277"/>
        <v>#DIV/0!</v>
      </c>
    </row>
    <row r="397" spans="2:59">
      <c r="B397" s="120">
        <v>384</v>
      </c>
      <c r="C397" s="241">
        <f t="shared" si="276"/>
        <v>54367</v>
      </c>
      <c r="D397" s="229">
        <f t="shared" si="278"/>
        <v>11</v>
      </c>
      <c r="E397" s="230" t="str">
        <f t="shared" si="279"/>
        <v>-</v>
      </c>
      <c r="F397" s="231">
        <f t="shared" si="280"/>
        <v>0</v>
      </c>
      <c r="G397" s="231">
        <f t="shared" si="281"/>
        <v>0</v>
      </c>
      <c r="H397" s="231">
        <f t="shared" si="282"/>
        <v>0</v>
      </c>
      <c r="I397" s="268">
        <f t="shared" ref="I397:I460" si="313">IF(cmt="SC",G397,IF(cmt="INCC",H397,IF(B397&gt;(mpt+npt),0,IF(B397&lt;(mpt+npt+1),IF(B397&gt;mpt,(vtd-vst)/npt,IF(B397=mpt,vst,0))))))*-1-F397+J397</f>
        <v>0</v>
      </c>
      <c r="J397" s="269">
        <f t="shared" si="283"/>
        <v>0</v>
      </c>
      <c r="K397" s="269">
        <f t="shared" si="284"/>
        <v>0</v>
      </c>
      <c r="L397" s="269">
        <f t="shared" ref="L397:L460" si="314">IF($B397&gt;mppe+npppe,0,IF($B397&lt;mppe+npppe,IF($B397&gt;=mppe,ppe*vgv/npppe,0),0))*-1</f>
        <v>0</v>
      </c>
      <c r="M397" s="269">
        <f t="shared" ref="M397:M460" si="315">IF($B397&gt;mppm+npppm,0,IF($B397&lt;mppm+npppm,IF($B397&gt;=mppm,ppm*vgv/npppm,0),0))*-1</f>
        <v>0</v>
      </c>
      <c r="N397" s="233">
        <f>VLOOKUP(B397,Dados!$L$86:$P$90,5)</f>
        <v>0</v>
      </c>
      <c r="O397" s="270">
        <f t="shared" si="285"/>
        <v>0.99999999999999989</v>
      </c>
      <c r="P397" s="269">
        <f t="shared" si="286"/>
        <v>0</v>
      </c>
      <c r="Q397" s="269" t="e">
        <f t="shared" si="287"/>
        <v>#DIV/0!</v>
      </c>
      <c r="R397" s="269">
        <f t="shared" si="288"/>
        <v>0</v>
      </c>
      <c r="S397" s="269" t="e">
        <f t="shared" si="289"/>
        <v>#DIV/0!</v>
      </c>
      <c r="T397" s="269" t="e">
        <f t="shared" si="275"/>
        <v>#DIV/0!</v>
      </c>
      <c r="U397" s="234">
        <f t="shared" si="290"/>
        <v>0</v>
      </c>
      <c r="V397" s="232" t="e">
        <f t="shared" si="291"/>
        <v>#DIV/0!</v>
      </c>
      <c r="W397" s="269" t="e">
        <f t="shared" si="292"/>
        <v>#DIV/0!</v>
      </c>
      <c r="X397" s="235">
        <f t="shared" ref="X397:X460" si="316">IF(B397-mlan&lt;0,0,IF(U397=0,0,IF(B397-mlan&gt;npm,vtpm*U397,(B397-mlan)*vvm*mdo/npm*U397)))</f>
        <v>0</v>
      </c>
      <c r="Y397" s="236">
        <f t="shared" si="293"/>
        <v>5</v>
      </c>
      <c r="Z397" s="236" t="e">
        <f t="shared" si="294"/>
        <v>#DIV/0!</v>
      </c>
      <c r="AA397" s="236">
        <f t="shared" si="295"/>
        <v>3</v>
      </c>
      <c r="AB397" s="236" t="e">
        <f t="shared" si="296"/>
        <v>#DIV/0!</v>
      </c>
      <c r="AC397" s="235">
        <f t="shared" si="297"/>
        <v>0</v>
      </c>
      <c r="AD397" s="235">
        <f t="shared" si="298"/>
        <v>0</v>
      </c>
      <c r="AE397" s="279">
        <f t="shared" si="299"/>
        <v>0</v>
      </c>
      <c r="AF397" s="232">
        <f t="shared" si="300"/>
        <v>0</v>
      </c>
      <c r="AG397" s="235">
        <f t="shared" si="301"/>
        <v>0</v>
      </c>
      <c r="AH397" s="269">
        <f t="shared" si="302"/>
        <v>0</v>
      </c>
      <c r="AI397" s="232">
        <f t="shared" si="303"/>
        <v>0</v>
      </c>
      <c r="AJ397" s="235">
        <f t="shared" si="304"/>
        <v>0</v>
      </c>
      <c r="AK397" s="269">
        <f t="shared" si="305"/>
        <v>0</v>
      </c>
      <c r="AL397" s="269">
        <f t="shared" ref="AL397:AL460" si="317">IF(B397=mec,cha*ntudv*vvm,0)</f>
        <v>0</v>
      </c>
      <c r="AM397" s="281" t="e">
        <f>IF(B397&gt;=mpfo,pos*vvm*Dados!$E$122*(ntudv-SUM(U$301:$U398))-SUM($AM$13:AM396),0)</f>
        <v>#DIV/0!</v>
      </c>
      <c r="AN397" s="269" t="e">
        <f t="shared" si="306"/>
        <v>#DIV/0!</v>
      </c>
      <c r="AO397" s="232" t="e">
        <f t="shared" si="307"/>
        <v>#DIV/0!</v>
      </c>
      <c r="AP397" s="242" t="e">
        <f t="shared" si="308"/>
        <v>#DIV/0!</v>
      </c>
      <c r="AQ397" s="235" t="e">
        <f>IF(AP397+SUM($AQ$12:AQ396)&gt;=0,0,-AP397-SUM($AQ$12:AQ396))</f>
        <v>#DIV/0!</v>
      </c>
      <c r="AR397" s="235">
        <f>IF(SUM($N$13:N396)&gt;=pmo,IF(SUM(N396:$N$501)&gt;(1-pmo),B397,0),0)</f>
        <v>0</v>
      </c>
      <c r="AS397" s="235" t="e">
        <f>IF((SUM($U$13:$U396)/ntudv)&gt;=pmv,IF((SUM($U396:$U$501)/ntudv)&gt;(1-pmv),B397,0),0)</f>
        <v>#DIV/0!</v>
      </c>
      <c r="AT397" s="237" t="e">
        <f>IF(MAX(mmo,mmv)=mmo,IF(B397=AR397,(SUM(N$13:$N396)-pmo)/((1-VLOOKUP(MAX(mmo,mmv)-1,$B$13:$O$501,14))+(VLOOKUP(MAX(mmo,mmv)-1,$B$13:$O$501,14)-pmo)),N396/((1-VLOOKUP(MAX(mmo,mmv)-1,$B$13:$O$501,14)+(VLOOKUP(MAX(mmo,mmv)-1,$B$13:$O$501,14)-pmo)))),N396/(1-VLOOKUP(MAX(mmo,mmv)-2,$B$13:$O$501,14)))</f>
        <v>#DIV/0!</v>
      </c>
      <c r="AU397" s="101" t="e">
        <f t="shared" ref="AU397:AU460" si="318">IF(B397=MAX(mmo,mmv),teo,0)*(1+tcfo-incc)^(B397-mbfo)</f>
        <v>#DIV/0!</v>
      </c>
      <c r="AV397" s="287" t="e">
        <f t="shared" ref="AV397:AV460" si="319">IF(B397&gt;=MAX(mmo,mmv),IF(B397&lt;(mco+2),(vfo-teo)*AT397,0),0)*(1+tcfo-incc)^(B397-mbfo)+AU397</f>
        <v>#DIV/0!</v>
      </c>
      <c r="AW397" s="235" t="e">
        <f t="shared" si="309"/>
        <v>#DIV/0!</v>
      </c>
      <c r="AX397" s="281">
        <f>IF(B397&gt;mpfo,0,IF(B397=mpfo,(vld-teo*(1+tcfo-incc)^(MAX(mmo,mmv)-mbfo))*-1,IF(SUM($N$13:N396)&gt;=pmo,IF(($V396/ntudv)&gt;=pmv,IF(B397=MAX(mmo,mmv),-teo*(1+tcfo-incc)^(B397-mbfo),0),0),0)))</f>
        <v>0</v>
      </c>
      <c r="AY397" s="292" t="e">
        <f t="shared" ref="AY397:AY460" si="320">IF(IF(cjfo="M",(AZ396)*jfo,IF(B397=mpfo,AW397+AX397,0))*-1&gt;0,0,IF(cjfo="M",(AZ396)*jfo,IF(B397=mpfo,AW397+AX397,0))*-1)</f>
        <v>#DIV/0!</v>
      </c>
      <c r="AZ397" s="235" t="e">
        <f t="shared" si="310"/>
        <v>#DIV/0!</v>
      </c>
      <c r="BA397" s="269" t="e">
        <f t="shared" si="311"/>
        <v>#DIV/0!</v>
      </c>
      <c r="BB397" s="292" t="e">
        <f t="shared" si="312"/>
        <v>#DIV/0!</v>
      </c>
      <c r="BC397" s="238" t="e">
        <f>IF(SUM($BC$13:BC396)&gt;0,0,IF(BB397&gt;0,B397,0))</f>
        <v>#DIV/0!</v>
      </c>
      <c r="BD397" s="292" t="e">
        <f>IF(BB397+SUM($BD$12:BD396)&gt;=0,0,-BB397-SUM($BD$12:BD396))</f>
        <v>#DIV/0!</v>
      </c>
      <c r="BE397" s="235" t="e">
        <f>BB397+SUM($BD$12:BD397)</f>
        <v>#DIV/0!</v>
      </c>
      <c r="BF397" s="292" t="e">
        <f>-MIN(BE397:$BE$501)-SUM(BF$12:$BF396)</f>
        <v>#DIV/0!</v>
      </c>
      <c r="BG397" s="235" t="e">
        <f t="shared" si="277"/>
        <v>#DIV/0!</v>
      </c>
    </row>
    <row r="398" spans="2:59">
      <c r="B398" s="246">
        <v>385</v>
      </c>
      <c r="C398" s="241">
        <f t="shared" si="276"/>
        <v>54397</v>
      </c>
      <c r="D398" s="229">
        <f t="shared" si="278"/>
        <v>12</v>
      </c>
      <c r="E398" s="230" t="str">
        <f t="shared" si="279"/>
        <v>-</v>
      </c>
      <c r="F398" s="231">
        <f t="shared" si="280"/>
        <v>0</v>
      </c>
      <c r="G398" s="231">
        <f t="shared" si="281"/>
        <v>0</v>
      </c>
      <c r="H398" s="231">
        <f t="shared" si="282"/>
        <v>0</v>
      </c>
      <c r="I398" s="268">
        <f t="shared" si="313"/>
        <v>0</v>
      </c>
      <c r="J398" s="269">
        <f t="shared" si="283"/>
        <v>0</v>
      </c>
      <c r="K398" s="269">
        <f t="shared" si="284"/>
        <v>0</v>
      </c>
      <c r="L398" s="269">
        <f t="shared" si="314"/>
        <v>0</v>
      </c>
      <c r="M398" s="269">
        <f t="shared" si="315"/>
        <v>0</v>
      </c>
      <c r="N398" s="233">
        <f>VLOOKUP(B398,Dados!$L$86:$P$90,5)</f>
        <v>0</v>
      </c>
      <c r="O398" s="270">
        <f t="shared" si="285"/>
        <v>0.99999999999999989</v>
      </c>
      <c r="P398" s="269">
        <f t="shared" si="286"/>
        <v>0</v>
      </c>
      <c r="Q398" s="269" t="e">
        <f t="shared" si="287"/>
        <v>#DIV/0!</v>
      </c>
      <c r="R398" s="269">
        <f t="shared" si="288"/>
        <v>0</v>
      </c>
      <c r="S398" s="269" t="e">
        <f t="shared" si="289"/>
        <v>#DIV/0!</v>
      </c>
      <c r="T398" s="269" t="e">
        <f t="shared" ref="T398:T461" si="321">S398+P398+M398+L398+K398+I398+R398+Q398</f>
        <v>#DIV/0!</v>
      </c>
      <c r="U398" s="234">
        <f t="shared" si="290"/>
        <v>0</v>
      </c>
      <c r="V398" s="232" t="e">
        <f t="shared" si="291"/>
        <v>#DIV/0!</v>
      </c>
      <c r="W398" s="269" t="e">
        <f t="shared" si="292"/>
        <v>#DIV/0!</v>
      </c>
      <c r="X398" s="235">
        <f t="shared" si="316"/>
        <v>0</v>
      </c>
      <c r="Y398" s="236">
        <f t="shared" si="293"/>
        <v>5</v>
      </c>
      <c r="Z398" s="236" t="e">
        <f t="shared" si="294"/>
        <v>#DIV/0!</v>
      </c>
      <c r="AA398" s="236">
        <f t="shared" si="295"/>
        <v>3</v>
      </c>
      <c r="AB398" s="236" t="e">
        <f t="shared" si="296"/>
        <v>#DIV/0!</v>
      </c>
      <c r="AC398" s="235">
        <f t="shared" si="297"/>
        <v>0</v>
      </c>
      <c r="AD398" s="235">
        <f t="shared" si="298"/>
        <v>0</v>
      </c>
      <c r="AE398" s="279">
        <f t="shared" si="299"/>
        <v>0</v>
      </c>
      <c r="AF398" s="232">
        <f t="shared" si="300"/>
        <v>1</v>
      </c>
      <c r="AG398" s="235">
        <f t="shared" si="301"/>
        <v>0</v>
      </c>
      <c r="AH398" s="269">
        <f t="shared" si="302"/>
        <v>0</v>
      </c>
      <c r="AI398" s="232">
        <f t="shared" si="303"/>
        <v>1</v>
      </c>
      <c r="AJ398" s="235">
        <f t="shared" si="304"/>
        <v>0</v>
      </c>
      <c r="AK398" s="269">
        <f t="shared" si="305"/>
        <v>0</v>
      </c>
      <c r="AL398" s="269">
        <f t="shared" si="317"/>
        <v>0</v>
      </c>
      <c r="AM398" s="281" t="e">
        <f>IF(B398&gt;=mpfo,pos*vvm*Dados!$E$122*(ntudv-SUM(U$301:$U399))-SUM($AM$13:AM397),0)</f>
        <v>#DIV/0!</v>
      </c>
      <c r="AN398" s="269" t="e">
        <f t="shared" si="306"/>
        <v>#DIV/0!</v>
      </c>
      <c r="AO398" s="232" t="e">
        <f t="shared" si="307"/>
        <v>#DIV/0!</v>
      </c>
      <c r="AP398" s="242" t="e">
        <f t="shared" si="308"/>
        <v>#DIV/0!</v>
      </c>
      <c r="AQ398" s="235" t="e">
        <f>IF(AP398+SUM($AQ$12:AQ397)&gt;=0,0,-AP398-SUM($AQ$12:AQ397))</f>
        <v>#DIV/0!</v>
      </c>
      <c r="AR398" s="235">
        <f>IF(SUM($N$13:N397)&gt;=pmo,IF(SUM(N397:$N$501)&gt;(1-pmo),B398,0),0)</f>
        <v>0</v>
      </c>
      <c r="AS398" s="235" t="e">
        <f>IF((SUM($U$13:$U397)/ntudv)&gt;=pmv,IF((SUM($U397:$U$501)/ntudv)&gt;(1-pmv),B398,0),0)</f>
        <v>#DIV/0!</v>
      </c>
      <c r="AT398" s="237" t="e">
        <f>IF(MAX(mmo,mmv)=mmo,IF(B398=AR398,(SUM(N$13:$N397)-pmo)/((1-VLOOKUP(MAX(mmo,mmv)-1,$B$13:$O$501,14))+(VLOOKUP(MAX(mmo,mmv)-1,$B$13:$O$501,14)-pmo)),N397/((1-VLOOKUP(MAX(mmo,mmv)-1,$B$13:$O$501,14)+(VLOOKUP(MAX(mmo,mmv)-1,$B$13:$O$501,14)-pmo)))),N397/(1-VLOOKUP(MAX(mmo,mmv)-2,$B$13:$O$501,14)))</f>
        <v>#DIV/0!</v>
      </c>
      <c r="AU398" s="101" t="e">
        <f t="shared" si="318"/>
        <v>#DIV/0!</v>
      </c>
      <c r="AV398" s="287" t="e">
        <f t="shared" si="319"/>
        <v>#DIV/0!</v>
      </c>
      <c r="AW398" s="235" t="e">
        <f t="shared" si="309"/>
        <v>#DIV/0!</v>
      </c>
      <c r="AX398" s="281">
        <f>IF(B398&gt;mpfo,0,IF(B398=mpfo,(vld-teo*(1+tcfo-incc)^(MAX(mmo,mmv)-mbfo))*-1,IF(SUM($N$13:N397)&gt;=pmo,IF(($V397/ntudv)&gt;=pmv,IF(B398=MAX(mmo,mmv),-teo*(1+tcfo-incc)^(B398-mbfo),0),0),0)))</f>
        <v>0</v>
      </c>
      <c r="AY398" s="292" t="e">
        <f t="shared" si="320"/>
        <v>#DIV/0!</v>
      </c>
      <c r="AZ398" s="235" t="e">
        <f t="shared" si="310"/>
        <v>#DIV/0!</v>
      </c>
      <c r="BA398" s="269" t="e">
        <f t="shared" si="311"/>
        <v>#DIV/0!</v>
      </c>
      <c r="BB398" s="292" t="e">
        <f t="shared" si="312"/>
        <v>#DIV/0!</v>
      </c>
      <c r="BC398" s="238" t="e">
        <f>IF(SUM($BC$13:BC397)&gt;0,0,IF(BB398&gt;0,B398,0))</f>
        <v>#DIV/0!</v>
      </c>
      <c r="BD398" s="292" t="e">
        <f>IF(BB398+SUM($BD$12:BD397)&gt;=0,0,-BB398-SUM($BD$12:BD397))</f>
        <v>#DIV/0!</v>
      </c>
      <c r="BE398" s="235" t="e">
        <f>BB398+SUM($BD$12:BD398)</f>
        <v>#DIV/0!</v>
      </c>
      <c r="BF398" s="292" t="e">
        <f>-MIN(BE398:$BE$501)-SUM(BF$12:$BF397)</f>
        <v>#DIV/0!</v>
      </c>
      <c r="BG398" s="235" t="e">
        <f t="shared" si="277"/>
        <v>#DIV/0!</v>
      </c>
    </row>
    <row r="399" spans="2:59">
      <c r="B399" s="120">
        <v>386</v>
      </c>
      <c r="C399" s="241">
        <f t="shared" ref="C399:C462" si="322">DATE(YEAR(C398),MONTH(C398)+1,DAY(C398))</f>
        <v>54428</v>
      </c>
      <c r="D399" s="229">
        <f t="shared" si="278"/>
        <v>1</v>
      </c>
      <c r="E399" s="230" t="str">
        <f t="shared" si="279"/>
        <v>-</v>
      </c>
      <c r="F399" s="231">
        <f t="shared" si="280"/>
        <v>0</v>
      </c>
      <c r="G399" s="231">
        <f t="shared" si="281"/>
        <v>0</v>
      </c>
      <c r="H399" s="231">
        <f t="shared" si="282"/>
        <v>0</v>
      </c>
      <c r="I399" s="268">
        <f t="shared" si="313"/>
        <v>0</v>
      </c>
      <c r="J399" s="269">
        <f t="shared" si="283"/>
        <v>0</v>
      </c>
      <c r="K399" s="269">
        <f t="shared" si="284"/>
        <v>0</v>
      </c>
      <c r="L399" s="269">
        <f t="shared" si="314"/>
        <v>0</v>
      </c>
      <c r="M399" s="269">
        <f t="shared" si="315"/>
        <v>0</v>
      </c>
      <c r="N399" s="233">
        <f>VLOOKUP(B399,Dados!$L$86:$P$90,5)</f>
        <v>0</v>
      </c>
      <c r="O399" s="270">
        <f t="shared" si="285"/>
        <v>0.99999999999999989</v>
      </c>
      <c r="P399" s="269">
        <f t="shared" si="286"/>
        <v>0</v>
      </c>
      <c r="Q399" s="269" t="e">
        <f t="shared" si="287"/>
        <v>#DIV/0!</v>
      </c>
      <c r="R399" s="269">
        <f t="shared" si="288"/>
        <v>0</v>
      </c>
      <c r="S399" s="269" t="e">
        <f t="shared" si="289"/>
        <v>#DIV/0!</v>
      </c>
      <c r="T399" s="269" t="e">
        <f t="shared" si="321"/>
        <v>#DIV/0!</v>
      </c>
      <c r="U399" s="234">
        <f t="shared" si="290"/>
        <v>0</v>
      </c>
      <c r="V399" s="232" t="e">
        <f t="shared" si="291"/>
        <v>#DIV/0!</v>
      </c>
      <c r="W399" s="269" t="e">
        <f t="shared" si="292"/>
        <v>#DIV/0!</v>
      </c>
      <c r="X399" s="235">
        <f t="shared" si="316"/>
        <v>0</v>
      </c>
      <c r="Y399" s="236">
        <f t="shared" si="293"/>
        <v>5</v>
      </c>
      <c r="Z399" s="236" t="e">
        <f t="shared" si="294"/>
        <v>#DIV/0!</v>
      </c>
      <c r="AA399" s="236">
        <f t="shared" si="295"/>
        <v>3</v>
      </c>
      <c r="AB399" s="236" t="e">
        <f t="shared" si="296"/>
        <v>#DIV/0!</v>
      </c>
      <c r="AC399" s="235">
        <f t="shared" si="297"/>
        <v>0</v>
      </c>
      <c r="AD399" s="235">
        <f t="shared" si="298"/>
        <v>0</v>
      </c>
      <c r="AE399" s="279">
        <f t="shared" si="299"/>
        <v>0</v>
      </c>
      <c r="AF399" s="232">
        <f t="shared" si="300"/>
        <v>0</v>
      </c>
      <c r="AG399" s="235">
        <f t="shared" si="301"/>
        <v>0</v>
      </c>
      <c r="AH399" s="269">
        <f t="shared" si="302"/>
        <v>0</v>
      </c>
      <c r="AI399" s="232">
        <f t="shared" si="303"/>
        <v>0</v>
      </c>
      <c r="AJ399" s="235">
        <f t="shared" si="304"/>
        <v>0</v>
      </c>
      <c r="AK399" s="269">
        <f t="shared" si="305"/>
        <v>0</v>
      </c>
      <c r="AL399" s="269">
        <f t="shared" si="317"/>
        <v>0</v>
      </c>
      <c r="AM399" s="281" t="e">
        <f>IF(B399&gt;=mpfo,pos*vvm*Dados!$E$122*(ntudv-SUM(U$301:$U400))-SUM($AM$13:AM398),0)</f>
        <v>#DIV/0!</v>
      </c>
      <c r="AN399" s="269" t="e">
        <f t="shared" si="306"/>
        <v>#DIV/0!</v>
      </c>
      <c r="AO399" s="232" t="e">
        <f t="shared" si="307"/>
        <v>#DIV/0!</v>
      </c>
      <c r="AP399" s="242" t="e">
        <f t="shared" si="308"/>
        <v>#DIV/0!</v>
      </c>
      <c r="AQ399" s="235" t="e">
        <f>IF(AP399+SUM($AQ$12:AQ398)&gt;=0,0,-AP399-SUM($AQ$12:AQ398))</f>
        <v>#DIV/0!</v>
      </c>
      <c r="AR399" s="235">
        <f>IF(SUM($N$13:N398)&gt;=pmo,IF(SUM(N398:$N$501)&gt;(1-pmo),B399,0),0)</f>
        <v>0</v>
      </c>
      <c r="AS399" s="235" t="e">
        <f>IF((SUM($U$13:$U398)/ntudv)&gt;=pmv,IF((SUM($U398:$U$501)/ntudv)&gt;(1-pmv),B399,0),0)</f>
        <v>#DIV/0!</v>
      </c>
      <c r="AT399" s="237" t="e">
        <f>IF(MAX(mmo,mmv)=mmo,IF(B399=AR399,(SUM(N$13:$N398)-pmo)/((1-VLOOKUP(MAX(mmo,mmv)-1,$B$13:$O$501,14))+(VLOOKUP(MAX(mmo,mmv)-1,$B$13:$O$501,14)-pmo)),N398/((1-VLOOKUP(MAX(mmo,mmv)-1,$B$13:$O$501,14)+(VLOOKUP(MAX(mmo,mmv)-1,$B$13:$O$501,14)-pmo)))),N398/(1-VLOOKUP(MAX(mmo,mmv)-2,$B$13:$O$501,14)))</f>
        <v>#DIV/0!</v>
      </c>
      <c r="AU399" s="101" t="e">
        <f t="shared" si="318"/>
        <v>#DIV/0!</v>
      </c>
      <c r="AV399" s="287" t="e">
        <f t="shared" si="319"/>
        <v>#DIV/0!</v>
      </c>
      <c r="AW399" s="235" t="e">
        <f t="shared" si="309"/>
        <v>#DIV/0!</v>
      </c>
      <c r="AX399" s="281">
        <f>IF(B399&gt;mpfo,0,IF(B399=mpfo,(vld-teo*(1+tcfo-incc)^(MAX(mmo,mmv)-mbfo))*-1,IF(SUM($N$13:N398)&gt;=pmo,IF(($V398/ntudv)&gt;=pmv,IF(B399=MAX(mmo,mmv),-teo*(1+tcfo-incc)^(B399-mbfo),0),0),0)))</f>
        <v>0</v>
      </c>
      <c r="AY399" s="292" t="e">
        <f t="shared" si="320"/>
        <v>#DIV/0!</v>
      </c>
      <c r="AZ399" s="235" t="e">
        <f t="shared" si="310"/>
        <v>#DIV/0!</v>
      </c>
      <c r="BA399" s="269" t="e">
        <f t="shared" si="311"/>
        <v>#DIV/0!</v>
      </c>
      <c r="BB399" s="292" t="e">
        <f t="shared" si="312"/>
        <v>#DIV/0!</v>
      </c>
      <c r="BC399" s="238" t="e">
        <f>IF(SUM($BC$13:BC398)&gt;0,0,IF(BB399&gt;0,B399,0))</f>
        <v>#DIV/0!</v>
      </c>
      <c r="BD399" s="292" t="e">
        <f>IF(BB399+SUM($BD$12:BD398)&gt;=0,0,-BB399-SUM($BD$12:BD398))</f>
        <v>#DIV/0!</v>
      </c>
      <c r="BE399" s="235" t="e">
        <f>BB399+SUM($BD$12:BD399)</f>
        <v>#DIV/0!</v>
      </c>
      <c r="BF399" s="292" t="e">
        <f>-MIN(BE399:$BE$501)-SUM(BF$12:$BF398)</f>
        <v>#DIV/0!</v>
      </c>
      <c r="BG399" s="235" t="e">
        <f t="shared" ref="BG399:BG462" si="323">BF399</f>
        <v>#DIV/0!</v>
      </c>
    </row>
    <row r="400" spans="2:59">
      <c r="B400" s="246">
        <v>387</v>
      </c>
      <c r="C400" s="241">
        <f t="shared" si="322"/>
        <v>54459</v>
      </c>
      <c r="D400" s="229">
        <f t="shared" si="278"/>
        <v>2</v>
      </c>
      <c r="E400" s="230" t="str">
        <f t="shared" si="279"/>
        <v>-</v>
      </c>
      <c r="F400" s="231">
        <f t="shared" si="280"/>
        <v>0</v>
      </c>
      <c r="G400" s="231">
        <f t="shared" si="281"/>
        <v>0</v>
      </c>
      <c r="H400" s="231">
        <f t="shared" si="282"/>
        <v>0</v>
      </c>
      <c r="I400" s="268">
        <f t="shared" si="313"/>
        <v>0</v>
      </c>
      <c r="J400" s="269">
        <f t="shared" si="283"/>
        <v>0</v>
      </c>
      <c r="K400" s="269">
        <f t="shared" si="284"/>
        <v>0</v>
      </c>
      <c r="L400" s="269">
        <f t="shared" si="314"/>
        <v>0</v>
      </c>
      <c r="M400" s="269">
        <f t="shared" si="315"/>
        <v>0</v>
      </c>
      <c r="N400" s="233">
        <f>VLOOKUP(B400,Dados!$L$86:$P$90,5)</f>
        <v>0</v>
      </c>
      <c r="O400" s="270">
        <f t="shared" si="285"/>
        <v>0.99999999999999989</v>
      </c>
      <c r="P400" s="269">
        <f t="shared" si="286"/>
        <v>0</v>
      </c>
      <c r="Q400" s="269" t="e">
        <f t="shared" si="287"/>
        <v>#DIV/0!</v>
      </c>
      <c r="R400" s="269">
        <f t="shared" si="288"/>
        <v>0</v>
      </c>
      <c r="S400" s="269" t="e">
        <f t="shared" si="289"/>
        <v>#DIV/0!</v>
      </c>
      <c r="T400" s="269" t="e">
        <f t="shared" si="321"/>
        <v>#DIV/0!</v>
      </c>
      <c r="U400" s="234">
        <f t="shared" si="290"/>
        <v>0</v>
      </c>
      <c r="V400" s="232" t="e">
        <f t="shared" si="291"/>
        <v>#DIV/0!</v>
      </c>
      <c r="W400" s="269" t="e">
        <f t="shared" si="292"/>
        <v>#DIV/0!</v>
      </c>
      <c r="X400" s="235">
        <f t="shared" si="316"/>
        <v>0</v>
      </c>
      <c r="Y400" s="236">
        <f t="shared" si="293"/>
        <v>5</v>
      </c>
      <c r="Z400" s="236" t="e">
        <f t="shared" si="294"/>
        <v>#DIV/0!</v>
      </c>
      <c r="AA400" s="236">
        <f t="shared" si="295"/>
        <v>3</v>
      </c>
      <c r="AB400" s="236" t="e">
        <f t="shared" si="296"/>
        <v>#DIV/0!</v>
      </c>
      <c r="AC400" s="235">
        <f t="shared" si="297"/>
        <v>0</v>
      </c>
      <c r="AD400" s="235">
        <f t="shared" si="298"/>
        <v>0</v>
      </c>
      <c r="AE400" s="279">
        <f t="shared" si="299"/>
        <v>0</v>
      </c>
      <c r="AF400" s="232">
        <f t="shared" si="300"/>
        <v>0</v>
      </c>
      <c r="AG400" s="235">
        <f t="shared" si="301"/>
        <v>0</v>
      </c>
      <c r="AH400" s="269">
        <f t="shared" si="302"/>
        <v>0</v>
      </c>
      <c r="AI400" s="232">
        <f t="shared" si="303"/>
        <v>0</v>
      </c>
      <c r="AJ400" s="235">
        <f t="shared" si="304"/>
        <v>0</v>
      </c>
      <c r="AK400" s="269">
        <f t="shared" si="305"/>
        <v>0</v>
      </c>
      <c r="AL400" s="269">
        <f t="shared" si="317"/>
        <v>0</v>
      </c>
      <c r="AM400" s="281" t="e">
        <f>IF(B400&gt;=mpfo,pos*vvm*Dados!$E$122*(ntudv-SUM(U$301:$U401))-SUM($AM$13:AM399),0)</f>
        <v>#DIV/0!</v>
      </c>
      <c r="AN400" s="269" t="e">
        <f t="shared" si="306"/>
        <v>#DIV/0!</v>
      </c>
      <c r="AO400" s="232" t="e">
        <f t="shared" si="307"/>
        <v>#DIV/0!</v>
      </c>
      <c r="AP400" s="242" t="e">
        <f t="shared" si="308"/>
        <v>#DIV/0!</v>
      </c>
      <c r="AQ400" s="235" t="e">
        <f>IF(AP400+SUM($AQ$12:AQ399)&gt;=0,0,-AP400-SUM($AQ$12:AQ399))</f>
        <v>#DIV/0!</v>
      </c>
      <c r="AR400" s="235">
        <f>IF(SUM($N$13:N399)&gt;=pmo,IF(SUM(N399:$N$501)&gt;(1-pmo),B400,0),0)</f>
        <v>0</v>
      </c>
      <c r="AS400" s="235" t="e">
        <f>IF((SUM($U$13:$U399)/ntudv)&gt;=pmv,IF((SUM($U399:$U$501)/ntudv)&gt;(1-pmv),B400,0),0)</f>
        <v>#DIV/0!</v>
      </c>
      <c r="AT400" s="237" t="e">
        <f>IF(MAX(mmo,mmv)=mmo,IF(B400=AR400,(SUM(N$13:$N399)-pmo)/((1-VLOOKUP(MAX(mmo,mmv)-1,$B$13:$O$501,14))+(VLOOKUP(MAX(mmo,mmv)-1,$B$13:$O$501,14)-pmo)),N399/((1-VLOOKUP(MAX(mmo,mmv)-1,$B$13:$O$501,14)+(VLOOKUP(MAX(mmo,mmv)-1,$B$13:$O$501,14)-pmo)))),N399/(1-VLOOKUP(MAX(mmo,mmv)-2,$B$13:$O$501,14)))</f>
        <v>#DIV/0!</v>
      </c>
      <c r="AU400" s="101" t="e">
        <f t="shared" si="318"/>
        <v>#DIV/0!</v>
      </c>
      <c r="AV400" s="287" t="e">
        <f t="shared" si="319"/>
        <v>#DIV/0!</v>
      </c>
      <c r="AW400" s="235" t="e">
        <f t="shared" si="309"/>
        <v>#DIV/0!</v>
      </c>
      <c r="AX400" s="281">
        <f>IF(B400&gt;mpfo,0,IF(B400=mpfo,(vld-teo*(1+tcfo-incc)^(MAX(mmo,mmv)-mbfo))*-1,IF(SUM($N$13:N399)&gt;=pmo,IF(($V399/ntudv)&gt;=pmv,IF(B400=MAX(mmo,mmv),-teo*(1+tcfo-incc)^(B400-mbfo),0),0),0)))</f>
        <v>0</v>
      </c>
      <c r="AY400" s="292" t="e">
        <f t="shared" si="320"/>
        <v>#DIV/0!</v>
      </c>
      <c r="AZ400" s="235" t="e">
        <f t="shared" si="310"/>
        <v>#DIV/0!</v>
      </c>
      <c r="BA400" s="269" t="e">
        <f t="shared" si="311"/>
        <v>#DIV/0!</v>
      </c>
      <c r="BB400" s="292" t="e">
        <f t="shared" si="312"/>
        <v>#DIV/0!</v>
      </c>
      <c r="BC400" s="238" t="e">
        <f>IF(SUM($BC$13:BC399)&gt;0,0,IF(BB400&gt;0,B400,0))</f>
        <v>#DIV/0!</v>
      </c>
      <c r="BD400" s="292" t="e">
        <f>IF(BB400+SUM($BD$12:BD399)&gt;=0,0,-BB400-SUM($BD$12:BD399))</f>
        <v>#DIV/0!</v>
      </c>
      <c r="BE400" s="235" t="e">
        <f>BB400+SUM($BD$12:BD400)</f>
        <v>#DIV/0!</v>
      </c>
      <c r="BF400" s="292" t="e">
        <f>-MIN(BE400:$BE$501)-SUM(BF$12:$BF399)</f>
        <v>#DIV/0!</v>
      </c>
      <c r="BG400" s="235" t="e">
        <f t="shared" si="323"/>
        <v>#DIV/0!</v>
      </c>
    </row>
    <row r="401" spans="2:59">
      <c r="B401" s="120">
        <v>388</v>
      </c>
      <c r="C401" s="241">
        <f t="shared" si="322"/>
        <v>54487</v>
      </c>
      <c r="D401" s="229">
        <f t="shared" si="278"/>
        <v>3</v>
      </c>
      <c r="E401" s="230" t="str">
        <f t="shared" si="279"/>
        <v>-</v>
      </c>
      <c r="F401" s="231">
        <f t="shared" si="280"/>
        <v>0</v>
      </c>
      <c r="G401" s="231">
        <f t="shared" si="281"/>
        <v>0</v>
      </c>
      <c r="H401" s="231">
        <f t="shared" si="282"/>
        <v>0</v>
      </c>
      <c r="I401" s="268">
        <f t="shared" si="313"/>
        <v>0</v>
      </c>
      <c r="J401" s="269">
        <f t="shared" si="283"/>
        <v>0</v>
      </c>
      <c r="K401" s="269">
        <f t="shared" si="284"/>
        <v>0</v>
      </c>
      <c r="L401" s="269">
        <f t="shared" si="314"/>
        <v>0</v>
      </c>
      <c r="M401" s="269">
        <f t="shared" si="315"/>
        <v>0</v>
      </c>
      <c r="N401" s="233">
        <f>VLOOKUP(B401,Dados!$L$86:$P$90,5)</f>
        <v>0</v>
      </c>
      <c r="O401" s="270">
        <f t="shared" si="285"/>
        <v>0.99999999999999989</v>
      </c>
      <c r="P401" s="269">
        <f t="shared" si="286"/>
        <v>0</v>
      </c>
      <c r="Q401" s="269" t="e">
        <f t="shared" si="287"/>
        <v>#DIV/0!</v>
      </c>
      <c r="R401" s="269">
        <f t="shared" si="288"/>
        <v>0</v>
      </c>
      <c r="S401" s="269" t="e">
        <f t="shared" si="289"/>
        <v>#DIV/0!</v>
      </c>
      <c r="T401" s="269" t="e">
        <f t="shared" si="321"/>
        <v>#DIV/0!</v>
      </c>
      <c r="U401" s="234">
        <f t="shared" si="290"/>
        <v>0</v>
      </c>
      <c r="V401" s="232" t="e">
        <f t="shared" si="291"/>
        <v>#DIV/0!</v>
      </c>
      <c r="W401" s="269" t="e">
        <f t="shared" si="292"/>
        <v>#DIV/0!</v>
      </c>
      <c r="X401" s="235">
        <f t="shared" si="316"/>
        <v>0</v>
      </c>
      <c r="Y401" s="236">
        <f t="shared" si="293"/>
        <v>5</v>
      </c>
      <c r="Z401" s="236" t="e">
        <f t="shared" si="294"/>
        <v>#DIV/0!</v>
      </c>
      <c r="AA401" s="236">
        <f t="shared" si="295"/>
        <v>3</v>
      </c>
      <c r="AB401" s="236" t="e">
        <f t="shared" si="296"/>
        <v>#DIV/0!</v>
      </c>
      <c r="AC401" s="235">
        <f t="shared" si="297"/>
        <v>0</v>
      </c>
      <c r="AD401" s="235">
        <f t="shared" si="298"/>
        <v>0</v>
      </c>
      <c r="AE401" s="279">
        <f t="shared" si="299"/>
        <v>0</v>
      </c>
      <c r="AF401" s="232">
        <f t="shared" si="300"/>
        <v>0</v>
      </c>
      <c r="AG401" s="235">
        <f t="shared" si="301"/>
        <v>0</v>
      </c>
      <c r="AH401" s="269">
        <f t="shared" si="302"/>
        <v>0</v>
      </c>
      <c r="AI401" s="232">
        <f t="shared" si="303"/>
        <v>0</v>
      </c>
      <c r="AJ401" s="235">
        <f t="shared" si="304"/>
        <v>0</v>
      </c>
      <c r="AK401" s="269">
        <f t="shared" si="305"/>
        <v>0</v>
      </c>
      <c r="AL401" s="269">
        <f t="shared" si="317"/>
        <v>0</v>
      </c>
      <c r="AM401" s="281" t="e">
        <f>IF(B401&gt;=mpfo,pos*vvm*Dados!$E$122*(ntudv-SUM(U$301:$U402))-SUM($AM$13:AM400),0)</f>
        <v>#DIV/0!</v>
      </c>
      <c r="AN401" s="269" t="e">
        <f t="shared" si="306"/>
        <v>#DIV/0!</v>
      </c>
      <c r="AO401" s="232" t="e">
        <f t="shared" si="307"/>
        <v>#DIV/0!</v>
      </c>
      <c r="AP401" s="242" t="e">
        <f t="shared" si="308"/>
        <v>#DIV/0!</v>
      </c>
      <c r="AQ401" s="235" t="e">
        <f>IF(AP401+SUM($AQ$12:AQ400)&gt;=0,0,-AP401-SUM($AQ$12:AQ400))</f>
        <v>#DIV/0!</v>
      </c>
      <c r="AR401" s="235">
        <f>IF(SUM($N$13:N400)&gt;=pmo,IF(SUM(N400:$N$501)&gt;(1-pmo),B401,0),0)</f>
        <v>0</v>
      </c>
      <c r="AS401" s="235" t="e">
        <f>IF((SUM($U$13:$U400)/ntudv)&gt;=pmv,IF((SUM($U400:$U$501)/ntudv)&gt;(1-pmv),B401,0),0)</f>
        <v>#DIV/0!</v>
      </c>
      <c r="AT401" s="237" t="e">
        <f>IF(MAX(mmo,mmv)=mmo,IF(B401=AR401,(SUM(N$13:$N400)-pmo)/((1-VLOOKUP(MAX(mmo,mmv)-1,$B$13:$O$501,14))+(VLOOKUP(MAX(mmo,mmv)-1,$B$13:$O$501,14)-pmo)),N400/((1-VLOOKUP(MAX(mmo,mmv)-1,$B$13:$O$501,14)+(VLOOKUP(MAX(mmo,mmv)-1,$B$13:$O$501,14)-pmo)))),N400/(1-VLOOKUP(MAX(mmo,mmv)-2,$B$13:$O$501,14)))</f>
        <v>#DIV/0!</v>
      </c>
      <c r="AU401" s="101" t="e">
        <f t="shared" si="318"/>
        <v>#DIV/0!</v>
      </c>
      <c r="AV401" s="287" t="e">
        <f t="shared" si="319"/>
        <v>#DIV/0!</v>
      </c>
      <c r="AW401" s="235" t="e">
        <f t="shared" si="309"/>
        <v>#DIV/0!</v>
      </c>
      <c r="AX401" s="281">
        <f>IF(B401&gt;mpfo,0,IF(B401=mpfo,(vld-teo*(1+tcfo-incc)^(MAX(mmo,mmv)-mbfo))*-1,IF(SUM($N$13:N400)&gt;=pmo,IF(($V400/ntudv)&gt;=pmv,IF(B401=MAX(mmo,mmv),-teo*(1+tcfo-incc)^(B401-mbfo),0),0),0)))</f>
        <v>0</v>
      </c>
      <c r="AY401" s="292" t="e">
        <f t="shared" si="320"/>
        <v>#DIV/0!</v>
      </c>
      <c r="AZ401" s="235" t="e">
        <f t="shared" si="310"/>
        <v>#DIV/0!</v>
      </c>
      <c r="BA401" s="269" t="e">
        <f t="shared" si="311"/>
        <v>#DIV/0!</v>
      </c>
      <c r="BB401" s="292" t="e">
        <f t="shared" si="312"/>
        <v>#DIV/0!</v>
      </c>
      <c r="BC401" s="238" t="e">
        <f>IF(SUM($BC$13:BC400)&gt;0,0,IF(BB401&gt;0,B401,0))</f>
        <v>#DIV/0!</v>
      </c>
      <c r="BD401" s="292" t="e">
        <f>IF(BB401+SUM($BD$12:BD400)&gt;=0,0,-BB401-SUM($BD$12:BD400))</f>
        <v>#DIV/0!</v>
      </c>
      <c r="BE401" s="235" t="e">
        <f>BB401+SUM($BD$12:BD401)</f>
        <v>#DIV/0!</v>
      </c>
      <c r="BF401" s="292" t="e">
        <f>-MIN(BE401:$BE$501)-SUM(BF$12:$BF400)</f>
        <v>#DIV/0!</v>
      </c>
      <c r="BG401" s="235" t="e">
        <f t="shared" si="323"/>
        <v>#DIV/0!</v>
      </c>
    </row>
    <row r="402" spans="2:59">
      <c r="B402" s="246">
        <v>389</v>
      </c>
      <c r="C402" s="241">
        <f t="shared" si="322"/>
        <v>54518</v>
      </c>
      <c r="D402" s="229">
        <f t="shared" si="278"/>
        <v>4</v>
      </c>
      <c r="E402" s="230" t="str">
        <f t="shared" si="279"/>
        <v>-</v>
      </c>
      <c r="F402" s="231">
        <f t="shared" si="280"/>
        <v>0</v>
      </c>
      <c r="G402" s="231">
        <f t="shared" si="281"/>
        <v>0</v>
      </c>
      <c r="H402" s="231">
        <f t="shared" si="282"/>
        <v>0</v>
      </c>
      <c r="I402" s="268">
        <f t="shared" si="313"/>
        <v>0</v>
      </c>
      <c r="J402" s="269">
        <f t="shared" si="283"/>
        <v>0</v>
      </c>
      <c r="K402" s="269">
        <f t="shared" si="284"/>
        <v>0</v>
      </c>
      <c r="L402" s="269">
        <f t="shared" si="314"/>
        <v>0</v>
      </c>
      <c r="M402" s="269">
        <f t="shared" si="315"/>
        <v>0</v>
      </c>
      <c r="N402" s="233">
        <f>VLOOKUP(B402,Dados!$L$86:$P$90,5)</f>
        <v>0</v>
      </c>
      <c r="O402" s="270">
        <f t="shared" si="285"/>
        <v>0.99999999999999989</v>
      </c>
      <c r="P402" s="269">
        <f t="shared" si="286"/>
        <v>0</v>
      </c>
      <c r="Q402" s="269" t="e">
        <f t="shared" si="287"/>
        <v>#DIV/0!</v>
      </c>
      <c r="R402" s="269">
        <f t="shared" si="288"/>
        <v>0</v>
      </c>
      <c r="S402" s="269" t="e">
        <f t="shared" si="289"/>
        <v>#DIV/0!</v>
      </c>
      <c r="T402" s="269" t="e">
        <f t="shared" si="321"/>
        <v>#DIV/0!</v>
      </c>
      <c r="U402" s="234">
        <f t="shared" si="290"/>
        <v>0</v>
      </c>
      <c r="V402" s="232" t="e">
        <f t="shared" si="291"/>
        <v>#DIV/0!</v>
      </c>
      <c r="W402" s="269" t="e">
        <f t="shared" si="292"/>
        <v>#DIV/0!</v>
      </c>
      <c r="X402" s="235">
        <f t="shared" si="316"/>
        <v>0</v>
      </c>
      <c r="Y402" s="236">
        <f t="shared" si="293"/>
        <v>5</v>
      </c>
      <c r="Z402" s="236" t="e">
        <f t="shared" si="294"/>
        <v>#DIV/0!</v>
      </c>
      <c r="AA402" s="236">
        <f t="shared" si="295"/>
        <v>3</v>
      </c>
      <c r="AB402" s="236" t="e">
        <f t="shared" si="296"/>
        <v>#DIV/0!</v>
      </c>
      <c r="AC402" s="235">
        <f t="shared" si="297"/>
        <v>0</v>
      </c>
      <c r="AD402" s="235">
        <f t="shared" si="298"/>
        <v>0</v>
      </c>
      <c r="AE402" s="279">
        <f t="shared" si="299"/>
        <v>0</v>
      </c>
      <c r="AF402" s="232">
        <f t="shared" si="300"/>
        <v>0</v>
      </c>
      <c r="AG402" s="235">
        <f t="shared" si="301"/>
        <v>0</v>
      </c>
      <c r="AH402" s="269">
        <f t="shared" si="302"/>
        <v>0</v>
      </c>
      <c r="AI402" s="232">
        <f t="shared" si="303"/>
        <v>0</v>
      </c>
      <c r="AJ402" s="235">
        <f t="shared" si="304"/>
        <v>0</v>
      </c>
      <c r="AK402" s="269">
        <f t="shared" si="305"/>
        <v>0</v>
      </c>
      <c r="AL402" s="269">
        <f t="shared" si="317"/>
        <v>0</v>
      </c>
      <c r="AM402" s="281" t="e">
        <f>IF(B402&gt;=mpfo,pos*vvm*Dados!$E$122*(ntudv-SUM(U$301:$U403))-SUM($AM$13:AM401),0)</f>
        <v>#DIV/0!</v>
      </c>
      <c r="AN402" s="269" t="e">
        <f t="shared" si="306"/>
        <v>#DIV/0!</v>
      </c>
      <c r="AO402" s="232" t="e">
        <f t="shared" si="307"/>
        <v>#DIV/0!</v>
      </c>
      <c r="AP402" s="242" t="e">
        <f t="shared" si="308"/>
        <v>#DIV/0!</v>
      </c>
      <c r="AQ402" s="235" t="e">
        <f>IF(AP402+SUM($AQ$12:AQ401)&gt;=0,0,-AP402-SUM($AQ$12:AQ401))</f>
        <v>#DIV/0!</v>
      </c>
      <c r="AR402" s="235">
        <f>IF(SUM($N$13:N401)&gt;=pmo,IF(SUM(N401:$N$501)&gt;(1-pmo),B402,0),0)</f>
        <v>0</v>
      </c>
      <c r="AS402" s="235" t="e">
        <f>IF((SUM($U$13:$U401)/ntudv)&gt;=pmv,IF((SUM($U401:$U$501)/ntudv)&gt;(1-pmv),B402,0),0)</f>
        <v>#DIV/0!</v>
      </c>
      <c r="AT402" s="237" t="e">
        <f>IF(MAX(mmo,mmv)=mmo,IF(B402=AR402,(SUM(N$13:$N401)-pmo)/((1-VLOOKUP(MAX(mmo,mmv)-1,$B$13:$O$501,14))+(VLOOKUP(MAX(mmo,mmv)-1,$B$13:$O$501,14)-pmo)),N401/((1-VLOOKUP(MAX(mmo,mmv)-1,$B$13:$O$501,14)+(VLOOKUP(MAX(mmo,mmv)-1,$B$13:$O$501,14)-pmo)))),N401/(1-VLOOKUP(MAX(mmo,mmv)-2,$B$13:$O$501,14)))</f>
        <v>#DIV/0!</v>
      </c>
      <c r="AU402" s="101" t="e">
        <f t="shared" si="318"/>
        <v>#DIV/0!</v>
      </c>
      <c r="AV402" s="287" t="e">
        <f t="shared" si="319"/>
        <v>#DIV/0!</v>
      </c>
      <c r="AW402" s="235" t="e">
        <f t="shared" si="309"/>
        <v>#DIV/0!</v>
      </c>
      <c r="AX402" s="281">
        <f>IF(B402&gt;mpfo,0,IF(B402=mpfo,(vld-teo*(1+tcfo-incc)^(MAX(mmo,mmv)-mbfo))*-1,IF(SUM($N$13:N401)&gt;=pmo,IF(($V401/ntudv)&gt;=pmv,IF(B402=MAX(mmo,mmv),-teo*(1+tcfo-incc)^(B402-mbfo),0),0),0)))</f>
        <v>0</v>
      </c>
      <c r="AY402" s="292" t="e">
        <f t="shared" si="320"/>
        <v>#DIV/0!</v>
      </c>
      <c r="AZ402" s="235" t="e">
        <f t="shared" si="310"/>
        <v>#DIV/0!</v>
      </c>
      <c r="BA402" s="269" t="e">
        <f t="shared" si="311"/>
        <v>#DIV/0!</v>
      </c>
      <c r="BB402" s="292" t="e">
        <f t="shared" si="312"/>
        <v>#DIV/0!</v>
      </c>
      <c r="BC402" s="238" t="e">
        <f>IF(SUM($BC$13:BC401)&gt;0,0,IF(BB402&gt;0,B402,0))</f>
        <v>#DIV/0!</v>
      </c>
      <c r="BD402" s="292" t="e">
        <f>IF(BB402+SUM($BD$12:BD401)&gt;=0,0,-BB402-SUM($BD$12:BD401))</f>
        <v>#DIV/0!</v>
      </c>
      <c r="BE402" s="235" t="e">
        <f>BB402+SUM($BD$12:BD402)</f>
        <v>#DIV/0!</v>
      </c>
      <c r="BF402" s="292" t="e">
        <f>-MIN(BE402:$BE$501)-SUM(BF$12:$BF401)</f>
        <v>#DIV/0!</v>
      </c>
      <c r="BG402" s="235" t="e">
        <f t="shared" si="323"/>
        <v>#DIV/0!</v>
      </c>
    </row>
    <row r="403" spans="2:59">
      <c r="B403" s="120">
        <v>390</v>
      </c>
      <c r="C403" s="241">
        <f t="shared" si="322"/>
        <v>54548</v>
      </c>
      <c r="D403" s="229">
        <f t="shared" si="278"/>
        <v>5</v>
      </c>
      <c r="E403" s="230" t="str">
        <f t="shared" si="279"/>
        <v>-</v>
      </c>
      <c r="F403" s="231">
        <f t="shared" si="280"/>
        <v>0</v>
      </c>
      <c r="G403" s="231">
        <f t="shared" si="281"/>
        <v>0</v>
      </c>
      <c r="H403" s="231">
        <f t="shared" si="282"/>
        <v>0</v>
      </c>
      <c r="I403" s="268">
        <f t="shared" si="313"/>
        <v>0</v>
      </c>
      <c r="J403" s="269">
        <f t="shared" si="283"/>
        <v>0</v>
      </c>
      <c r="K403" s="269">
        <f t="shared" si="284"/>
        <v>0</v>
      </c>
      <c r="L403" s="269">
        <f t="shared" si="314"/>
        <v>0</v>
      </c>
      <c r="M403" s="269">
        <f t="shared" si="315"/>
        <v>0</v>
      </c>
      <c r="N403" s="233">
        <f>VLOOKUP(B403,Dados!$L$86:$P$90,5)</f>
        <v>0</v>
      </c>
      <c r="O403" s="270">
        <f t="shared" si="285"/>
        <v>0.99999999999999989</v>
      </c>
      <c r="P403" s="269">
        <f t="shared" si="286"/>
        <v>0</v>
      </c>
      <c r="Q403" s="269" t="e">
        <f t="shared" si="287"/>
        <v>#DIV/0!</v>
      </c>
      <c r="R403" s="269">
        <f t="shared" si="288"/>
        <v>0</v>
      </c>
      <c r="S403" s="269" t="e">
        <f t="shared" si="289"/>
        <v>#DIV/0!</v>
      </c>
      <c r="T403" s="269" t="e">
        <f t="shared" si="321"/>
        <v>#DIV/0!</v>
      </c>
      <c r="U403" s="234">
        <f t="shared" si="290"/>
        <v>0</v>
      </c>
      <c r="V403" s="232" t="e">
        <f t="shared" si="291"/>
        <v>#DIV/0!</v>
      </c>
      <c r="W403" s="269" t="e">
        <f t="shared" si="292"/>
        <v>#DIV/0!</v>
      </c>
      <c r="X403" s="235">
        <f t="shared" si="316"/>
        <v>0</v>
      </c>
      <c r="Y403" s="236">
        <f t="shared" si="293"/>
        <v>5</v>
      </c>
      <c r="Z403" s="236" t="e">
        <f t="shared" si="294"/>
        <v>#DIV/0!</v>
      </c>
      <c r="AA403" s="236">
        <f t="shared" si="295"/>
        <v>3</v>
      </c>
      <c r="AB403" s="236" t="e">
        <f t="shared" si="296"/>
        <v>#DIV/0!</v>
      </c>
      <c r="AC403" s="235">
        <f t="shared" si="297"/>
        <v>0</v>
      </c>
      <c r="AD403" s="235">
        <f t="shared" si="298"/>
        <v>0</v>
      </c>
      <c r="AE403" s="279">
        <f t="shared" si="299"/>
        <v>0</v>
      </c>
      <c r="AF403" s="232">
        <f t="shared" si="300"/>
        <v>0</v>
      </c>
      <c r="AG403" s="235">
        <f t="shared" si="301"/>
        <v>0</v>
      </c>
      <c r="AH403" s="269">
        <f t="shared" si="302"/>
        <v>0</v>
      </c>
      <c r="AI403" s="232">
        <f t="shared" si="303"/>
        <v>0</v>
      </c>
      <c r="AJ403" s="235">
        <f t="shared" si="304"/>
        <v>0</v>
      </c>
      <c r="AK403" s="269">
        <f t="shared" si="305"/>
        <v>0</v>
      </c>
      <c r="AL403" s="269">
        <f t="shared" si="317"/>
        <v>0</v>
      </c>
      <c r="AM403" s="281" t="e">
        <f>IF(B403&gt;=mpfo,pos*vvm*Dados!$E$122*(ntudv-SUM(U$301:$U404))-SUM($AM$13:AM402),0)</f>
        <v>#DIV/0!</v>
      </c>
      <c r="AN403" s="269" t="e">
        <f t="shared" si="306"/>
        <v>#DIV/0!</v>
      </c>
      <c r="AO403" s="232" t="e">
        <f t="shared" si="307"/>
        <v>#DIV/0!</v>
      </c>
      <c r="AP403" s="242" t="e">
        <f t="shared" si="308"/>
        <v>#DIV/0!</v>
      </c>
      <c r="AQ403" s="235" t="e">
        <f>IF(AP403+SUM($AQ$12:AQ402)&gt;=0,0,-AP403-SUM($AQ$12:AQ402))</f>
        <v>#DIV/0!</v>
      </c>
      <c r="AR403" s="235">
        <f>IF(SUM($N$13:N402)&gt;=pmo,IF(SUM(N402:$N$501)&gt;(1-pmo),B403,0),0)</f>
        <v>0</v>
      </c>
      <c r="AS403" s="235" t="e">
        <f>IF((SUM($U$13:$U402)/ntudv)&gt;=pmv,IF((SUM($U402:$U$501)/ntudv)&gt;(1-pmv),B403,0),0)</f>
        <v>#DIV/0!</v>
      </c>
      <c r="AT403" s="237" t="e">
        <f>IF(MAX(mmo,mmv)=mmo,IF(B403=AR403,(SUM(N$13:$N402)-pmo)/((1-VLOOKUP(MAX(mmo,mmv)-1,$B$13:$O$501,14))+(VLOOKUP(MAX(mmo,mmv)-1,$B$13:$O$501,14)-pmo)),N402/((1-VLOOKUP(MAX(mmo,mmv)-1,$B$13:$O$501,14)+(VLOOKUP(MAX(mmo,mmv)-1,$B$13:$O$501,14)-pmo)))),N402/(1-VLOOKUP(MAX(mmo,mmv)-2,$B$13:$O$501,14)))</f>
        <v>#DIV/0!</v>
      </c>
      <c r="AU403" s="101" t="e">
        <f t="shared" si="318"/>
        <v>#DIV/0!</v>
      </c>
      <c r="AV403" s="287" t="e">
        <f t="shared" si="319"/>
        <v>#DIV/0!</v>
      </c>
      <c r="AW403" s="235" t="e">
        <f t="shared" si="309"/>
        <v>#DIV/0!</v>
      </c>
      <c r="AX403" s="281">
        <f>IF(B403&gt;mpfo,0,IF(B403=mpfo,(vld-teo*(1+tcfo-incc)^(MAX(mmo,mmv)-mbfo))*-1,IF(SUM($N$13:N402)&gt;=pmo,IF(($V402/ntudv)&gt;=pmv,IF(B403=MAX(mmo,mmv),-teo*(1+tcfo-incc)^(B403-mbfo),0),0),0)))</f>
        <v>0</v>
      </c>
      <c r="AY403" s="292" t="e">
        <f t="shared" si="320"/>
        <v>#DIV/0!</v>
      </c>
      <c r="AZ403" s="235" t="e">
        <f t="shared" si="310"/>
        <v>#DIV/0!</v>
      </c>
      <c r="BA403" s="269" t="e">
        <f t="shared" si="311"/>
        <v>#DIV/0!</v>
      </c>
      <c r="BB403" s="292" t="e">
        <f t="shared" si="312"/>
        <v>#DIV/0!</v>
      </c>
      <c r="BC403" s="238" t="e">
        <f>IF(SUM($BC$13:BC402)&gt;0,0,IF(BB403&gt;0,B403,0))</f>
        <v>#DIV/0!</v>
      </c>
      <c r="BD403" s="292" t="e">
        <f>IF(BB403+SUM($BD$12:BD402)&gt;=0,0,-BB403-SUM($BD$12:BD402))</f>
        <v>#DIV/0!</v>
      </c>
      <c r="BE403" s="235" t="e">
        <f>BB403+SUM($BD$12:BD403)</f>
        <v>#DIV/0!</v>
      </c>
      <c r="BF403" s="292" t="e">
        <f>-MIN(BE403:$BE$501)-SUM(BF$12:$BF402)</f>
        <v>#DIV/0!</v>
      </c>
      <c r="BG403" s="235" t="e">
        <f t="shared" si="323"/>
        <v>#DIV/0!</v>
      </c>
    </row>
    <row r="404" spans="2:59">
      <c r="B404" s="246">
        <v>391</v>
      </c>
      <c r="C404" s="241">
        <f t="shared" si="322"/>
        <v>54579</v>
      </c>
      <c r="D404" s="229">
        <f t="shared" si="278"/>
        <v>6</v>
      </c>
      <c r="E404" s="230" t="str">
        <f t="shared" si="279"/>
        <v>-</v>
      </c>
      <c r="F404" s="231">
        <f t="shared" si="280"/>
        <v>0</v>
      </c>
      <c r="G404" s="231">
        <f t="shared" si="281"/>
        <v>0</v>
      </c>
      <c r="H404" s="231">
        <f t="shared" si="282"/>
        <v>0</v>
      </c>
      <c r="I404" s="268">
        <f t="shared" si="313"/>
        <v>0</v>
      </c>
      <c r="J404" s="269">
        <f t="shared" si="283"/>
        <v>0</v>
      </c>
      <c r="K404" s="269">
        <f t="shared" si="284"/>
        <v>0</v>
      </c>
      <c r="L404" s="269">
        <f t="shared" si="314"/>
        <v>0</v>
      </c>
      <c r="M404" s="269">
        <f t="shared" si="315"/>
        <v>0</v>
      </c>
      <c r="N404" s="233">
        <f>VLOOKUP(B404,Dados!$L$86:$P$90,5)</f>
        <v>0</v>
      </c>
      <c r="O404" s="270">
        <f t="shared" si="285"/>
        <v>0.99999999999999989</v>
      </c>
      <c r="P404" s="269">
        <f t="shared" si="286"/>
        <v>0</v>
      </c>
      <c r="Q404" s="269" t="e">
        <f t="shared" si="287"/>
        <v>#DIV/0!</v>
      </c>
      <c r="R404" s="269">
        <f t="shared" si="288"/>
        <v>0</v>
      </c>
      <c r="S404" s="269" t="e">
        <f t="shared" si="289"/>
        <v>#DIV/0!</v>
      </c>
      <c r="T404" s="269" t="e">
        <f t="shared" si="321"/>
        <v>#DIV/0!</v>
      </c>
      <c r="U404" s="234">
        <f t="shared" si="290"/>
        <v>0</v>
      </c>
      <c r="V404" s="232" t="e">
        <f t="shared" si="291"/>
        <v>#DIV/0!</v>
      </c>
      <c r="W404" s="269" t="e">
        <f t="shared" si="292"/>
        <v>#DIV/0!</v>
      </c>
      <c r="X404" s="235">
        <f t="shared" si="316"/>
        <v>0</v>
      </c>
      <c r="Y404" s="236">
        <f t="shared" si="293"/>
        <v>5</v>
      </c>
      <c r="Z404" s="236" t="e">
        <f t="shared" si="294"/>
        <v>#DIV/0!</v>
      </c>
      <c r="AA404" s="236">
        <f t="shared" si="295"/>
        <v>3</v>
      </c>
      <c r="AB404" s="236" t="e">
        <f t="shared" si="296"/>
        <v>#DIV/0!</v>
      </c>
      <c r="AC404" s="235">
        <f t="shared" si="297"/>
        <v>0</v>
      </c>
      <c r="AD404" s="235">
        <f t="shared" si="298"/>
        <v>0</v>
      </c>
      <c r="AE404" s="279">
        <f t="shared" si="299"/>
        <v>0</v>
      </c>
      <c r="AF404" s="232">
        <f t="shared" si="300"/>
        <v>1</v>
      </c>
      <c r="AG404" s="235">
        <f t="shared" si="301"/>
        <v>0</v>
      </c>
      <c r="AH404" s="269">
        <f t="shared" si="302"/>
        <v>0</v>
      </c>
      <c r="AI404" s="232">
        <f t="shared" si="303"/>
        <v>0</v>
      </c>
      <c r="AJ404" s="235">
        <f t="shared" si="304"/>
        <v>0</v>
      </c>
      <c r="AK404" s="269">
        <f t="shared" si="305"/>
        <v>0</v>
      </c>
      <c r="AL404" s="269">
        <f t="shared" si="317"/>
        <v>0</v>
      </c>
      <c r="AM404" s="281" t="e">
        <f>IF(B404&gt;=mpfo,pos*vvm*Dados!$E$122*(ntudv-SUM(U$301:$U405))-SUM($AM$13:AM403),0)</f>
        <v>#DIV/0!</v>
      </c>
      <c r="AN404" s="269" t="e">
        <f t="shared" si="306"/>
        <v>#DIV/0!</v>
      </c>
      <c r="AO404" s="232" t="e">
        <f t="shared" si="307"/>
        <v>#DIV/0!</v>
      </c>
      <c r="AP404" s="242" t="e">
        <f t="shared" si="308"/>
        <v>#DIV/0!</v>
      </c>
      <c r="AQ404" s="235" t="e">
        <f>IF(AP404+SUM($AQ$12:AQ403)&gt;=0,0,-AP404-SUM($AQ$12:AQ403))</f>
        <v>#DIV/0!</v>
      </c>
      <c r="AR404" s="235">
        <f>IF(SUM($N$13:N403)&gt;=pmo,IF(SUM(N403:$N$501)&gt;(1-pmo),B404,0),0)</f>
        <v>0</v>
      </c>
      <c r="AS404" s="235" t="e">
        <f>IF((SUM($U$13:$U403)/ntudv)&gt;=pmv,IF((SUM($U403:$U$501)/ntudv)&gt;(1-pmv),B404,0),0)</f>
        <v>#DIV/0!</v>
      </c>
      <c r="AT404" s="237" t="e">
        <f>IF(MAX(mmo,mmv)=mmo,IF(B404=AR404,(SUM(N$13:$N403)-pmo)/((1-VLOOKUP(MAX(mmo,mmv)-1,$B$13:$O$501,14))+(VLOOKUP(MAX(mmo,mmv)-1,$B$13:$O$501,14)-pmo)),N403/((1-VLOOKUP(MAX(mmo,mmv)-1,$B$13:$O$501,14)+(VLOOKUP(MAX(mmo,mmv)-1,$B$13:$O$501,14)-pmo)))),N403/(1-VLOOKUP(MAX(mmo,mmv)-2,$B$13:$O$501,14)))</f>
        <v>#DIV/0!</v>
      </c>
      <c r="AU404" s="101" t="e">
        <f t="shared" si="318"/>
        <v>#DIV/0!</v>
      </c>
      <c r="AV404" s="287" t="e">
        <f t="shared" si="319"/>
        <v>#DIV/0!</v>
      </c>
      <c r="AW404" s="235" t="e">
        <f t="shared" si="309"/>
        <v>#DIV/0!</v>
      </c>
      <c r="AX404" s="281">
        <f>IF(B404&gt;mpfo,0,IF(B404=mpfo,(vld-teo*(1+tcfo-incc)^(MAX(mmo,mmv)-mbfo))*-1,IF(SUM($N$13:N403)&gt;=pmo,IF(($V403/ntudv)&gt;=pmv,IF(B404=MAX(mmo,mmv),-teo*(1+tcfo-incc)^(B404-mbfo),0),0),0)))</f>
        <v>0</v>
      </c>
      <c r="AY404" s="292" t="e">
        <f t="shared" si="320"/>
        <v>#DIV/0!</v>
      </c>
      <c r="AZ404" s="235" t="e">
        <f t="shared" si="310"/>
        <v>#DIV/0!</v>
      </c>
      <c r="BA404" s="269" t="e">
        <f t="shared" si="311"/>
        <v>#DIV/0!</v>
      </c>
      <c r="BB404" s="292" t="e">
        <f t="shared" si="312"/>
        <v>#DIV/0!</v>
      </c>
      <c r="BC404" s="238" t="e">
        <f>IF(SUM($BC$13:BC403)&gt;0,0,IF(BB404&gt;0,B404,0))</f>
        <v>#DIV/0!</v>
      </c>
      <c r="BD404" s="292" t="e">
        <f>IF(BB404+SUM($BD$12:BD403)&gt;=0,0,-BB404-SUM($BD$12:BD403))</f>
        <v>#DIV/0!</v>
      </c>
      <c r="BE404" s="235" t="e">
        <f>BB404+SUM($BD$12:BD404)</f>
        <v>#DIV/0!</v>
      </c>
      <c r="BF404" s="292" t="e">
        <f>-MIN(BE404:$BE$501)-SUM(BF$12:$BF403)</f>
        <v>#DIV/0!</v>
      </c>
      <c r="BG404" s="235" t="e">
        <f t="shared" si="323"/>
        <v>#DIV/0!</v>
      </c>
    </row>
    <row r="405" spans="2:59">
      <c r="B405" s="120">
        <v>392</v>
      </c>
      <c r="C405" s="241">
        <f t="shared" si="322"/>
        <v>54609</v>
      </c>
      <c r="D405" s="229">
        <f t="shared" si="278"/>
        <v>7</v>
      </c>
      <c r="E405" s="230" t="str">
        <f t="shared" si="279"/>
        <v>-</v>
      </c>
      <c r="F405" s="231">
        <f t="shared" si="280"/>
        <v>0</v>
      </c>
      <c r="G405" s="231">
        <f t="shared" si="281"/>
        <v>0</v>
      </c>
      <c r="H405" s="231">
        <f t="shared" si="282"/>
        <v>0</v>
      </c>
      <c r="I405" s="268">
        <f t="shared" si="313"/>
        <v>0</v>
      </c>
      <c r="J405" s="269">
        <f t="shared" si="283"/>
        <v>0</v>
      </c>
      <c r="K405" s="269">
        <f t="shared" si="284"/>
        <v>0</v>
      </c>
      <c r="L405" s="269">
        <f t="shared" si="314"/>
        <v>0</v>
      </c>
      <c r="M405" s="269">
        <f t="shared" si="315"/>
        <v>0</v>
      </c>
      <c r="N405" s="233">
        <f>VLOOKUP(B405,Dados!$L$86:$P$90,5)</f>
        <v>0</v>
      </c>
      <c r="O405" s="270">
        <f t="shared" si="285"/>
        <v>0.99999999999999989</v>
      </c>
      <c r="P405" s="269">
        <f t="shared" si="286"/>
        <v>0</v>
      </c>
      <c r="Q405" s="269" t="e">
        <f t="shared" si="287"/>
        <v>#DIV/0!</v>
      </c>
      <c r="R405" s="269">
        <f t="shared" si="288"/>
        <v>0</v>
      </c>
      <c r="S405" s="269" t="e">
        <f t="shared" si="289"/>
        <v>#DIV/0!</v>
      </c>
      <c r="T405" s="269" t="e">
        <f t="shared" si="321"/>
        <v>#DIV/0!</v>
      </c>
      <c r="U405" s="234">
        <f t="shared" si="290"/>
        <v>0</v>
      </c>
      <c r="V405" s="232" t="e">
        <f t="shared" si="291"/>
        <v>#DIV/0!</v>
      </c>
      <c r="W405" s="269" t="e">
        <f t="shared" si="292"/>
        <v>#DIV/0!</v>
      </c>
      <c r="X405" s="235">
        <f t="shared" si="316"/>
        <v>0</v>
      </c>
      <c r="Y405" s="236">
        <f t="shared" si="293"/>
        <v>5</v>
      </c>
      <c r="Z405" s="236" t="e">
        <f t="shared" si="294"/>
        <v>#DIV/0!</v>
      </c>
      <c r="AA405" s="236">
        <f t="shared" si="295"/>
        <v>3</v>
      </c>
      <c r="AB405" s="236" t="e">
        <f t="shared" si="296"/>
        <v>#DIV/0!</v>
      </c>
      <c r="AC405" s="235">
        <f t="shared" si="297"/>
        <v>0</v>
      </c>
      <c r="AD405" s="235">
        <f t="shared" si="298"/>
        <v>0</v>
      </c>
      <c r="AE405" s="279">
        <f t="shared" si="299"/>
        <v>0</v>
      </c>
      <c r="AF405" s="232">
        <f t="shared" si="300"/>
        <v>0</v>
      </c>
      <c r="AG405" s="235">
        <f t="shared" si="301"/>
        <v>0</v>
      </c>
      <c r="AH405" s="269">
        <f t="shared" si="302"/>
        <v>0</v>
      </c>
      <c r="AI405" s="232">
        <f t="shared" si="303"/>
        <v>0</v>
      </c>
      <c r="AJ405" s="235">
        <f t="shared" si="304"/>
        <v>0</v>
      </c>
      <c r="AK405" s="269">
        <f t="shared" si="305"/>
        <v>0</v>
      </c>
      <c r="AL405" s="269">
        <f t="shared" si="317"/>
        <v>0</v>
      </c>
      <c r="AM405" s="281" t="e">
        <f>IF(B405&gt;=mpfo,pos*vvm*Dados!$E$122*(ntudv-SUM(U$301:$U406))-SUM($AM$13:AM404),0)</f>
        <v>#DIV/0!</v>
      </c>
      <c r="AN405" s="269" t="e">
        <f t="shared" si="306"/>
        <v>#DIV/0!</v>
      </c>
      <c r="AO405" s="232" t="e">
        <f t="shared" si="307"/>
        <v>#DIV/0!</v>
      </c>
      <c r="AP405" s="242" t="e">
        <f t="shared" si="308"/>
        <v>#DIV/0!</v>
      </c>
      <c r="AQ405" s="235" t="e">
        <f>IF(AP405+SUM($AQ$12:AQ404)&gt;=0,0,-AP405-SUM($AQ$12:AQ404))</f>
        <v>#DIV/0!</v>
      </c>
      <c r="AR405" s="235">
        <f>IF(SUM($N$13:N404)&gt;=pmo,IF(SUM(N404:$N$501)&gt;(1-pmo),B405,0),0)</f>
        <v>0</v>
      </c>
      <c r="AS405" s="235" t="e">
        <f>IF((SUM($U$13:$U404)/ntudv)&gt;=pmv,IF((SUM($U404:$U$501)/ntudv)&gt;(1-pmv),B405,0),0)</f>
        <v>#DIV/0!</v>
      </c>
      <c r="AT405" s="237" t="e">
        <f>IF(MAX(mmo,mmv)=mmo,IF(B405=AR405,(SUM(N$13:$N404)-pmo)/((1-VLOOKUP(MAX(mmo,mmv)-1,$B$13:$O$501,14))+(VLOOKUP(MAX(mmo,mmv)-1,$B$13:$O$501,14)-pmo)),N404/((1-VLOOKUP(MAX(mmo,mmv)-1,$B$13:$O$501,14)+(VLOOKUP(MAX(mmo,mmv)-1,$B$13:$O$501,14)-pmo)))),N404/(1-VLOOKUP(MAX(mmo,mmv)-2,$B$13:$O$501,14)))</f>
        <v>#DIV/0!</v>
      </c>
      <c r="AU405" s="101" t="e">
        <f t="shared" si="318"/>
        <v>#DIV/0!</v>
      </c>
      <c r="AV405" s="287" t="e">
        <f t="shared" si="319"/>
        <v>#DIV/0!</v>
      </c>
      <c r="AW405" s="235" t="e">
        <f t="shared" si="309"/>
        <v>#DIV/0!</v>
      </c>
      <c r="AX405" s="281">
        <f>IF(B405&gt;mpfo,0,IF(B405=mpfo,(vld-teo*(1+tcfo-incc)^(MAX(mmo,mmv)-mbfo))*-1,IF(SUM($N$13:N404)&gt;=pmo,IF(($V404/ntudv)&gt;=pmv,IF(B405=MAX(mmo,mmv),-teo*(1+tcfo-incc)^(B405-mbfo),0),0),0)))</f>
        <v>0</v>
      </c>
      <c r="AY405" s="292" t="e">
        <f t="shared" si="320"/>
        <v>#DIV/0!</v>
      </c>
      <c r="AZ405" s="235" t="e">
        <f t="shared" si="310"/>
        <v>#DIV/0!</v>
      </c>
      <c r="BA405" s="269" t="e">
        <f t="shared" si="311"/>
        <v>#DIV/0!</v>
      </c>
      <c r="BB405" s="292" t="e">
        <f t="shared" si="312"/>
        <v>#DIV/0!</v>
      </c>
      <c r="BC405" s="238" t="e">
        <f>IF(SUM($BC$13:BC404)&gt;0,0,IF(BB405&gt;0,B405,0))</f>
        <v>#DIV/0!</v>
      </c>
      <c r="BD405" s="292" t="e">
        <f>IF(BB405+SUM($BD$12:BD404)&gt;=0,0,-BB405-SUM($BD$12:BD404))</f>
        <v>#DIV/0!</v>
      </c>
      <c r="BE405" s="235" t="e">
        <f>BB405+SUM($BD$12:BD405)</f>
        <v>#DIV/0!</v>
      </c>
      <c r="BF405" s="292" t="e">
        <f>-MIN(BE405:$BE$501)-SUM(BF$12:$BF404)</f>
        <v>#DIV/0!</v>
      </c>
      <c r="BG405" s="235" t="e">
        <f t="shared" si="323"/>
        <v>#DIV/0!</v>
      </c>
    </row>
    <row r="406" spans="2:59">
      <c r="B406" s="246">
        <v>393</v>
      </c>
      <c r="C406" s="241">
        <f t="shared" si="322"/>
        <v>54640</v>
      </c>
      <c r="D406" s="229">
        <f t="shared" si="278"/>
        <v>8</v>
      </c>
      <c r="E406" s="230" t="str">
        <f t="shared" si="279"/>
        <v>-</v>
      </c>
      <c r="F406" s="231">
        <f t="shared" si="280"/>
        <v>0</v>
      </c>
      <c r="G406" s="231">
        <f t="shared" si="281"/>
        <v>0</v>
      </c>
      <c r="H406" s="231">
        <f t="shared" si="282"/>
        <v>0</v>
      </c>
      <c r="I406" s="268">
        <f t="shared" si="313"/>
        <v>0</v>
      </c>
      <c r="J406" s="269">
        <f t="shared" si="283"/>
        <v>0</v>
      </c>
      <c r="K406" s="269">
        <f t="shared" si="284"/>
        <v>0</v>
      </c>
      <c r="L406" s="269">
        <f t="shared" si="314"/>
        <v>0</v>
      </c>
      <c r="M406" s="269">
        <f t="shared" si="315"/>
        <v>0</v>
      </c>
      <c r="N406" s="233">
        <f>VLOOKUP(B406,Dados!$L$86:$P$90,5)</f>
        <v>0</v>
      </c>
      <c r="O406" s="270">
        <f t="shared" si="285"/>
        <v>0.99999999999999989</v>
      </c>
      <c r="P406" s="269">
        <f t="shared" si="286"/>
        <v>0</v>
      </c>
      <c r="Q406" s="269" t="e">
        <f t="shared" si="287"/>
        <v>#DIV/0!</v>
      </c>
      <c r="R406" s="269">
        <f t="shared" si="288"/>
        <v>0</v>
      </c>
      <c r="S406" s="269" t="e">
        <f t="shared" si="289"/>
        <v>#DIV/0!</v>
      </c>
      <c r="T406" s="269" t="e">
        <f t="shared" si="321"/>
        <v>#DIV/0!</v>
      </c>
      <c r="U406" s="234">
        <f t="shared" si="290"/>
        <v>0</v>
      </c>
      <c r="V406" s="232" t="e">
        <f t="shared" si="291"/>
        <v>#DIV/0!</v>
      </c>
      <c r="W406" s="269" t="e">
        <f t="shared" si="292"/>
        <v>#DIV/0!</v>
      </c>
      <c r="X406" s="235">
        <f t="shared" si="316"/>
        <v>0</v>
      </c>
      <c r="Y406" s="236">
        <f t="shared" si="293"/>
        <v>5</v>
      </c>
      <c r="Z406" s="236" t="e">
        <f t="shared" si="294"/>
        <v>#DIV/0!</v>
      </c>
      <c r="AA406" s="236">
        <f t="shared" si="295"/>
        <v>3</v>
      </c>
      <c r="AB406" s="236" t="e">
        <f t="shared" si="296"/>
        <v>#DIV/0!</v>
      </c>
      <c r="AC406" s="235">
        <f t="shared" si="297"/>
        <v>0</v>
      </c>
      <c r="AD406" s="235">
        <f t="shared" si="298"/>
        <v>0</v>
      </c>
      <c r="AE406" s="279">
        <f t="shared" si="299"/>
        <v>0</v>
      </c>
      <c r="AF406" s="232">
        <f t="shared" si="300"/>
        <v>0</v>
      </c>
      <c r="AG406" s="235">
        <f t="shared" si="301"/>
        <v>0</v>
      </c>
      <c r="AH406" s="269">
        <f t="shared" si="302"/>
        <v>0</v>
      </c>
      <c r="AI406" s="232">
        <f t="shared" si="303"/>
        <v>0</v>
      </c>
      <c r="AJ406" s="235">
        <f t="shared" si="304"/>
        <v>0</v>
      </c>
      <c r="AK406" s="269">
        <f t="shared" si="305"/>
        <v>0</v>
      </c>
      <c r="AL406" s="269">
        <f t="shared" si="317"/>
        <v>0</v>
      </c>
      <c r="AM406" s="281" t="e">
        <f>IF(B406&gt;=mpfo,pos*vvm*Dados!$E$122*(ntudv-SUM(U$301:$U407))-SUM($AM$13:AM405),0)</f>
        <v>#DIV/0!</v>
      </c>
      <c r="AN406" s="269" t="e">
        <f t="shared" si="306"/>
        <v>#DIV/0!</v>
      </c>
      <c r="AO406" s="232" t="e">
        <f t="shared" si="307"/>
        <v>#DIV/0!</v>
      </c>
      <c r="AP406" s="242" t="e">
        <f t="shared" si="308"/>
        <v>#DIV/0!</v>
      </c>
      <c r="AQ406" s="235" t="e">
        <f>IF(AP406+SUM($AQ$12:AQ405)&gt;=0,0,-AP406-SUM($AQ$12:AQ405))</f>
        <v>#DIV/0!</v>
      </c>
      <c r="AR406" s="235">
        <f>IF(SUM($N$13:N405)&gt;=pmo,IF(SUM(N405:$N$501)&gt;(1-pmo),B406,0),0)</f>
        <v>0</v>
      </c>
      <c r="AS406" s="235" t="e">
        <f>IF((SUM($U$13:$U405)/ntudv)&gt;=pmv,IF((SUM($U405:$U$501)/ntudv)&gt;(1-pmv),B406,0),0)</f>
        <v>#DIV/0!</v>
      </c>
      <c r="AT406" s="237" t="e">
        <f>IF(MAX(mmo,mmv)=mmo,IF(B406=AR406,(SUM(N$13:$N405)-pmo)/((1-VLOOKUP(MAX(mmo,mmv)-1,$B$13:$O$501,14))+(VLOOKUP(MAX(mmo,mmv)-1,$B$13:$O$501,14)-pmo)),N405/((1-VLOOKUP(MAX(mmo,mmv)-1,$B$13:$O$501,14)+(VLOOKUP(MAX(mmo,mmv)-1,$B$13:$O$501,14)-pmo)))),N405/(1-VLOOKUP(MAX(mmo,mmv)-2,$B$13:$O$501,14)))</f>
        <v>#DIV/0!</v>
      </c>
      <c r="AU406" s="101" t="e">
        <f t="shared" si="318"/>
        <v>#DIV/0!</v>
      </c>
      <c r="AV406" s="287" t="e">
        <f t="shared" si="319"/>
        <v>#DIV/0!</v>
      </c>
      <c r="AW406" s="235" t="e">
        <f t="shared" si="309"/>
        <v>#DIV/0!</v>
      </c>
      <c r="AX406" s="281">
        <f>IF(B406&gt;mpfo,0,IF(B406=mpfo,(vld-teo*(1+tcfo-incc)^(MAX(mmo,mmv)-mbfo))*-1,IF(SUM($N$13:N405)&gt;=pmo,IF(($V405/ntudv)&gt;=pmv,IF(B406=MAX(mmo,mmv),-teo*(1+tcfo-incc)^(B406-mbfo),0),0),0)))</f>
        <v>0</v>
      </c>
      <c r="AY406" s="292" t="e">
        <f t="shared" si="320"/>
        <v>#DIV/0!</v>
      </c>
      <c r="AZ406" s="235" t="e">
        <f t="shared" si="310"/>
        <v>#DIV/0!</v>
      </c>
      <c r="BA406" s="269" t="e">
        <f t="shared" si="311"/>
        <v>#DIV/0!</v>
      </c>
      <c r="BB406" s="292" t="e">
        <f t="shared" si="312"/>
        <v>#DIV/0!</v>
      </c>
      <c r="BC406" s="238" t="e">
        <f>IF(SUM($BC$13:BC405)&gt;0,0,IF(BB406&gt;0,B406,0))</f>
        <v>#DIV/0!</v>
      </c>
      <c r="BD406" s="292" t="e">
        <f>IF(BB406+SUM($BD$12:BD405)&gt;=0,0,-BB406-SUM($BD$12:BD405))</f>
        <v>#DIV/0!</v>
      </c>
      <c r="BE406" s="235" t="e">
        <f>BB406+SUM($BD$12:BD406)</f>
        <v>#DIV/0!</v>
      </c>
      <c r="BF406" s="292" t="e">
        <f>-MIN(BE406:$BE$501)-SUM(BF$12:$BF405)</f>
        <v>#DIV/0!</v>
      </c>
      <c r="BG406" s="235" t="e">
        <f t="shared" si="323"/>
        <v>#DIV/0!</v>
      </c>
    </row>
    <row r="407" spans="2:59">
      <c r="B407" s="120">
        <v>394</v>
      </c>
      <c r="C407" s="241">
        <f t="shared" si="322"/>
        <v>54671</v>
      </c>
      <c r="D407" s="229">
        <f t="shared" si="278"/>
        <v>9</v>
      </c>
      <c r="E407" s="230" t="str">
        <f t="shared" si="279"/>
        <v>-</v>
      </c>
      <c r="F407" s="231">
        <f t="shared" si="280"/>
        <v>0</v>
      </c>
      <c r="G407" s="231">
        <f t="shared" si="281"/>
        <v>0</v>
      </c>
      <c r="H407" s="231">
        <f t="shared" si="282"/>
        <v>0</v>
      </c>
      <c r="I407" s="268">
        <f t="shared" si="313"/>
        <v>0</v>
      </c>
      <c r="J407" s="269">
        <f t="shared" si="283"/>
        <v>0</v>
      </c>
      <c r="K407" s="269">
        <f t="shared" si="284"/>
        <v>0</v>
      </c>
      <c r="L407" s="269">
        <f t="shared" si="314"/>
        <v>0</v>
      </c>
      <c r="M407" s="269">
        <f t="shared" si="315"/>
        <v>0</v>
      </c>
      <c r="N407" s="233">
        <f>VLOOKUP(B407,Dados!$L$86:$P$90,5)</f>
        <v>0</v>
      </c>
      <c r="O407" s="270">
        <f t="shared" si="285"/>
        <v>0.99999999999999989</v>
      </c>
      <c r="P407" s="269">
        <f t="shared" si="286"/>
        <v>0</v>
      </c>
      <c r="Q407" s="269" t="e">
        <f t="shared" si="287"/>
        <v>#DIV/0!</v>
      </c>
      <c r="R407" s="269">
        <f t="shared" si="288"/>
        <v>0</v>
      </c>
      <c r="S407" s="269" t="e">
        <f t="shared" si="289"/>
        <v>#DIV/0!</v>
      </c>
      <c r="T407" s="269" t="e">
        <f t="shared" si="321"/>
        <v>#DIV/0!</v>
      </c>
      <c r="U407" s="234">
        <f t="shared" si="290"/>
        <v>0</v>
      </c>
      <c r="V407" s="232" t="e">
        <f t="shared" si="291"/>
        <v>#DIV/0!</v>
      </c>
      <c r="W407" s="269" t="e">
        <f t="shared" si="292"/>
        <v>#DIV/0!</v>
      </c>
      <c r="X407" s="235">
        <f t="shared" si="316"/>
        <v>0</v>
      </c>
      <c r="Y407" s="236">
        <f t="shared" si="293"/>
        <v>5</v>
      </c>
      <c r="Z407" s="236" t="e">
        <f t="shared" si="294"/>
        <v>#DIV/0!</v>
      </c>
      <c r="AA407" s="236">
        <f t="shared" si="295"/>
        <v>3</v>
      </c>
      <c r="AB407" s="236" t="e">
        <f t="shared" si="296"/>
        <v>#DIV/0!</v>
      </c>
      <c r="AC407" s="235">
        <f t="shared" si="297"/>
        <v>0</v>
      </c>
      <c r="AD407" s="235">
        <f t="shared" si="298"/>
        <v>0</v>
      </c>
      <c r="AE407" s="279">
        <f t="shared" si="299"/>
        <v>0</v>
      </c>
      <c r="AF407" s="232">
        <f t="shared" si="300"/>
        <v>0</v>
      </c>
      <c r="AG407" s="235">
        <f t="shared" si="301"/>
        <v>0</v>
      </c>
      <c r="AH407" s="269">
        <f t="shared" si="302"/>
        <v>0</v>
      </c>
      <c r="AI407" s="232">
        <f t="shared" si="303"/>
        <v>0</v>
      </c>
      <c r="AJ407" s="235">
        <f t="shared" si="304"/>
        <v>0</v>
      </c>
      <c r="AK407" s="269">
        <f t="shared" si="305"/>
        <v>0</v>
      </c>
      <c r="AL407" s="269">
        <f t="shared" si="317"/>
        <v>0</v>
      </c>
      <c r="AM407" s="281" t="e">
        <f>IF(B407&gt;=mpfo,pos*vvm*Dados!$E$122*(ntudv-SUM(U$301:$U408))-SUM($AM$13:AM406),0)</f>
        <v>#DIV/0!</v>
      </c>
      <c r="AN407" s="269" t="e">
        <f t="shared" si="306"/>
        <v>#DIV/0!</v>
      </c>
      <c r="AO407" s="232" t="e">
        <f t="shared" si="307"/>
        <v>#DIV/0!</v>
      </c>
      <c r="AP407" s="242" t="e">
        <f t="shared" si="308"/>
        <v>#DIV/0!</v>
      </c>
      <c r="AQ407" s="235" t="e">
        <f>IF(AP407+SUM($AQ$12:AQ406)&gt;=0,0,-AP407-SUM($AQ$12:AQ406))</f>
        <v>#DIV/0!</v>
      </c>
      <c r="AR407" s="235">
        <f>IF(SUM($N$13:N406)&gt;=pmo,IF(SUM(N406:$N$501)&gt;(1-pmo),B407,0),0)</f>
        <v>0</v>
      </c>
      <c r="AS407" s="235" t="e">
        <f>IF((SUM($U$13:$U406)/ntudv)&gt;=pmv,IF((SUM($U406:$U$501)/ntudv)&gt;(1-pmv),B407,0),0)</f>
        <v>#DIV/0!</v>
      </c>
      <c r="AT407" s="237" t="e">
        <f>IF(MAX(mmo,mmv)=mmo,IF(B407=AR407,(SUM(N$13:$N406)-pmo)/((1-VLOOKUP(MAX(mmo,mmv)-1,$B$13:$O$501,14))+(VLOOKUP(MAX(mmo,mmv)-1,$B$13:$O$501,14)-pmo)),N406/((1-VLOOKUP(MAX(mmo,mmv)-1,$B$13:$O$501,14)+(VLOOKUP(MAX(mmo,mmv)-1,$B$13:$O$501,14)-pmo)))),N406/(1-VLOOKUP(MAX(mmo,mmv)-2,$B$13:$O$501,14)))</f>
        <v>#DIV/0!</v>
      </c>
      <c r="AU407" s="101" t="e">
        <f t="shared" si="318"/>
        <v>#DIV/0!</v>
      </c>
      <c r="AV407" s="287" t="e">
        <f t="shared" si="319"/>
        <v>#DIV/0!</v>
      </c>
      <c r="AW407" s="235" t="e">
        <f t="shared" si="309"/>
        <v>#DIV/0!</v>
      </c>
      <c r="AX407" s="281">
        <f>IF(B407&gt;mpfo,0,IF(B407=mpfo,(vld-teo*(1+tcfo-incc)^(MAX(mmo,mmv)-mbfo))*-1,IF(SUM($N$13:N406)&gt;=pmo,IF(($V406/ntudv)&gt;=pmv,IF(B407=MAX(mmo,mmv),-teo*(1+tcfo-incc)^(B407-mbfo),0),0),0)))</f>
        <v>0</v>
      </c>
      <c r="AY407" s="292" t="e">
        <f t="shared" si="320"/>
        <v>#DIV/0!</v>
      </c>
      <c r="AZ407" s="235" t="e">
        <f t="shared" si="310"/>
        <v>#DIV/0!</v>
      </c>
      <c r="BA407" s="269" t="e">
        <f t="shared" si="311"/>
        <v>#DIV/0!</v>
      </c>
      <c r="BB407" s="292" t="e">
        <f t="shared" si="312"/>
        <v>#DIV/0!</v>
      </c>
      <c r="BC407" s="238" t="e">
        <f>IF(SUM($BC$13:BC406)&gt;0,0,IF(BB407&gt;0,B407,0))</f>
        <v>#DIV/0!</v>
      </c>
      <c r="BD407" s="292" t="e">
        <f>IF(BB407+SUM($BD$12:BD406)&gt;=0,0,-BB407-SUM($BD$12:BD406))</f>
        <v>#DIV/0!</v>
      </c>
      <c r="BE407" s="235" t="e">
        <f>BB407+SUM($BD$12:BD407)</f>
        <v>#DIV/0!</v>
      </c>
      <c r="BF407" s="292" t="e">
        <f>-MIN(BE407:$BE$501)-SUM(BF$12:$BF406)</f>
        <v>#DIV/0!</v>
      </c>
      <c r="BG407" s="235" t="e">
        <f t="shared" si="323"/>
        <v>#DIV/0!</v>
      </c>
    </row>
    <row r="408" spans="2:59">
      <c r="B408" s="246">
        <v>395</v>
      </c>
      <c r="C408" s="241">
        <f t="shared" si="322"/>
        <v>54701</v>
      </c>
      <c r="D408" s="229">
        <f t="shared" ref="D408:D471" si="324">MONTH(C408)</f>
        <v>10</v>
      </c>
      <c r="E408" s="230" t="str">
        <f t="shared" ref="E408:E471" si="325">IF(B408=mpo,"Outorga",IF(B408=mpt,"Terreno",IF(B408=mlan,"Lançamento", IF(B408=mio,"Inic. Obras",IF(B408=mio+prazo-1,"Concl. Obras",IF(B408=mec,"Chaves", IF(B408=mpfo,"Pgto. Financ.","-")))))))</f>
        <v>-</v>
      </c>
      <c r="F408" s="231">
        <f t="shared" ref="F408:F471" si="326">IF(B408=mpo, voo,0)</f>
        <v>0</v>
      </c>
      <c r="G408" s="231">
        <f t="shared" ref="G408:G471" si="327">IF(B408&gt;(mpt+npt),0,IF(B408&lt;(mpt+npt+1),IF(B408&gt;mpt,(vtd-vst)/npt/(igpm+1)^B408,IF(B408=mpt,vst/(igpm+1)^B408,0))))</f>
        <v>0</v>
      </c>
      <c r="H408" s="231">
        <f t="shared" ref="H408:H471" si="328">IF(B408&gt;(mpt+npt),0,IF(B408&lt;(mpt+npt+1),IF(B408&gt;mpt,(vtd-vst)/npt/(delta+1)^B408,IF(B408=mpt,vst/(delta+1)^B408,0))))</f>
        <v>0</v>
      </c>
      <c r="I408" s="268">
        <f t="shared" si="313"/>
        <v>0</v>
      </c>
      <c r="J408" s="269">
        <f t="shared" ref="J408:J471" si="329">IF(B408=mpdt,dtt,0)*-1</f>
        <v>0</v>
      </c>
      <c r="K408" s="269">
        <f t="shared" ref="K408:K471" si="330">IF(B408&gt;mdji+npdji,0,IF(B408&lt;mdji+npdji,IF(B408&gt;=mdji,dji*vgv/npdji,0),0))*-1</f>
        <v>0</v>
      </c>
      <c r="L408" s="269">
        <f t="shared" si="314"/>
        <v>0</v>
      </c>
      <c r="M408" s="269">
        <f t="shared" si="315"/>
        <v>0</v>
      </c>
      <c r="N408" s="233">
        <f>VLOOKUP(B408,Dados!$L$86:$P$90,5)</f>
        <v>0</v>
      </c>
      <c r="O408" s="270">
        <f t="shared" ref="O408:O471" si="331">N408+O407</f>
        <v>0.99999999999999989</v>
      </c>
      <c r="P408" s="269">
        <f t="shared" ref="P408:P471" si="332">N408*cto*-1</f>
        <v>0</v>
      </c>
      <c r="Q408" s="269" t="e">
        <f t="shared" ref="Q408:Q471" si="333">AN408*pimp*-1</f>
        <v>#DIV/0!</v>
      </c>
      <c r="R408" s="269">
        <f t="shared" ref="R408:R471" si="334">IF(B408&gt;=1,IF(B408&lt;=(mec+6),padm*vgv/(mec+6),0),0)*-1</f>
        <v>0</v>
      </c>
      <c r="S408" s="269" t="e">
        <f t="shared" ref="S408:S471" si="335">U408*vvm*pcorr*-1</f>
        <v>#DIV/0!</v>
      </c>
      <c r="T408" s="269" t="e">
        <f t="shared" si="321"/>
        <v>#DIV/0!</v>
      </c>
      <c r="U408" s="234">
        <f t="shared" ref="U408:U471" si="336">VLOOKUP(B408,tabvv,4)</f>
        <v>0</v>
      </c>
      <c r="V408" s="232" t="e">
        <f t="shared" ref="V408:V471" si="337">V407+U408</f>
        <v>#DIV/0!</v>
      </c>
      <c r="W408" s="269" t="e">
        <f t="shared" ref="W408:W471" si="338">U408*vvm*sinal+X408+Z408+AB408</f>
        <v>#DIV/0!</v>
      </c>
      <c r="X408" s="235">
        <f t="shared" si="316"/>
        <v>0</v>
      </c>
      <c r="Y408" s="236">
        <f t="shared" ref="Y408:Y471" si="339">IF($B408&gt;mlan+5,IF($B408&lt;=mco,Y407+$AF407,+Y407),0)</f>
        <v>5</v>
      </c>
      <c r="Z408" s="236" t="e">
        <f t="shared" ref="Z408:Z471" si="340">Y408*vvm*sem*U408/npse</f>
        <v>#DIV/0!</v>
      </c>
      <c r="AA408" s="236">
        <f t="shared" ref="AA408:AA471" si="341">IF($B408&gt;mlan+5,IF($B408&lt;=mco,AA407+$AI407,+AA407),0)</f>
        <v>3</v>
      </c>
      <c r="AB408" s="236" t="e">
        <f t="shared" ref="AB408:AB471" si="342">AA408*vvm*anu*U408/npa</f>
        <v>#DIV/0!</v>
      </c>
      <c r="AC408" s="235">
        <f t="shared" ref="AC408:AC471" si="343">IF(B408&gt;=mec,0,V407*mdo*vvm/npm)</f>
        <v>0</v>
      </c>
      <c r="AD408" s="235">
        <f t="shared" ref="AD408:AD471" si="344">IF(B408&gt;mec,IF(B408&lt;=mec+npfd,pmtfd*nufd,0),0)</f>
        <v>0</v>
      </c>
      <c r="AE408" s="279">
        <f t="shared" ref="AE408:AE471" si="345">AD408+AC408</f>
        <v>0</v>
      </c>
      <c r="AF408" s="232">
        <f t="shared" ref="AF408:AF471" si="346">IF(D408=6,1,IF(D408=12,1,0))</f>
        <v>0</v>
      </c>
      <c r="AG408" s="235">
        <f t="shared" ref="AG408:AG471" si="347">IF($B408&gt;mlan+5,IF($B408&lt;=mco,$AG407+$AF408,0),0)</f>
        <v>0</v>
      </c>
      <c r="AH408" s="269">
        <f t="shared" ref="AH408:AH471" si="348">IF(B408&gt;=mlan+5,IF(B408&lt;=mco,V408*vvm*sem*AF408/npse,0),0)</f>
        <v>0</v>
      </c>
      <c r="AI408" s="232">
        <f t="shared" ref="AI408:AI471" si="349">IF(D408=12,1,0)</f>
        <v>0</v>
      </c>
      <c r="AJ408" s="235">
        <f t="shared" ref="AJ408:AJ471" si="350">IF(B407&gt;=mlan+5,IF(B407&lt;mco,AJ407+AI408,0),0)</f>
        <v>0</v>
      </c>
      <c r="AK408" s="269">
        <f t="shared" ref="AK408:AK471" si="351">IF(B408&lt;=mco,IF(B408&gt;=mlan+5,V408*vvm*anu/npa*AI408,0),0)</f>
        <v>0</v>
      </c>
      <c r="AL408" s="269">
        <f t="shared" si="317"/>
        <v>0</v>
      </c>
      <c r="AM408" s="281" t="e">
        <f>IF(B408&gt;=mpfo,pos*vvm*Dados!$E$122*(ntudv-SUM(U$301:$U409))-SUM($AM$13:AM407),0)</f>
        <v>#DIV/0!</v>
      </c>
      <c r="AN408" s="269" t="e">
        <f t="shared" ref="AN408:AN471" si="352">AL408+AK408+AH408+AE408+W408+AM408</f>
        <v>#DIV/0!</v>
      </c>
      <c r="AO408" s="232" t="e">
        <f t="shared" ref="AO408:AO471" si="353">AN408+T408</f>
        <v>#DIV/0!</v>
      </c>
      <c r="AP408" s="242" t="e">
        <f t="shared" ref="AP408:AP471" si="354">AP407+AO408</f>
        <v>#DIV/0!</v>
      </c>
      <c r="AQ408" s="235" t="e">
        <f>IF(AP408+SUM($AQ$12:AQ407)&gt;=0,0,-AP408-SUM($AQ$12:AQ407))</f>
        <v>#DIV/0!</v>
      </c>
      <c r="AR408" s="235">
        <f>IF(SUM($N$13:N407)&gt;=pmo,IF(SUM(N407:$N$501)&gt;(1-pmo),B408,0),0)</f>
        <v>0</v>
      </c>
      <c r="AS408" s="235" t="e">
        <f>IF((SUM($U$13:$U407)/ntudv)&gt;=pmv,IF((SUM($U407:$U$501)/ntudv)&gt;(1-pmv),B408,0),0)</f>
        <v>#DIV/0!</v>
      </c>
      <c r="AT408" s="237" t="e">
        <f>IF(MAX(mmo,mmv)=mmo,IF(B408=AR408,(SUM(N$13:$N407)-pmo)/((1-VLOOKUP(MAX(mmo,mmv)-1,$B$13:$O$501,14))+(VLOOKUP(MAX(mmo,mmv)-1,$B$13:$O$501,14)-pmo)),N407/((1-VLOOKUP(MAX(mmo,mmv)-1,$B$13:$O$501,14)+(VLOOKUP(MAX(mmo,mmv)-1,$B$13:$O$501,14)-pmo)))),N407/(1-VLOOKUP(MAX(mmo,mmv)-2,$B$13:$O$501,14)))</f>
        <v>#DIV/0!</v>
      </c>
      <c r="AU408" s="101" t="e">
        <f t="shared" si="318"/>
        <v>#DIV/0!</v>
      </c>
      <c r="AV408" s="287" t="e">
        <f t="shared" si="319"/>
        <v>#DIV/0!</v>
      </c>
      <c r="AW408" s="235" t="e">
        <f t="shared" ref="AW408:AW471" si="355">AV408+AZ407*(1+jfo)</f>
        <v>#DIV/0!</v>
      </c>
      <c r="AX408" s="281">
        <f>IF(B408&gt;mpfo,0,IF(B408=mpfo,(vld-teo*(1+tcfo-incc)^(MAX(mmo,mmv)-mbfo))*-1,IF(SUM($N$13:N407)&gt;=pmo,IF(($V407/ntudv)&gt;=pmv,IF(B408=MAX(mmo,mmv),-teo*(1+tcfo-incc)^(B408-mbfo),0),0),0)))</f>
        <v>0</v>
      </c>
      <c r="AY408" s="292" t="e">
        <f t="shared" si="320"/>
        <v>#DIV/0!</v>
      </c>
      <c r="AZ408" s="235" t="e">
        <f t="shared" ref="AZ408:AZ471" si="356">AW408+AX408+AY408</f>
        <v>#DIV/0!</v>
      </c>
      <c r="BA408" s="269" t="e">
        <f t="shared" ref="BA408:BA471" si="357">AO408+AV408+AX408+AY408</f>
        <v>#DIV/0!</v>
      </c>
      <c r="BB408" s="292" t="e">
        <f t="shared" ref="BB408:BB471" si="358">BB407+BA408</f>
        <v>#DIV/0!</v>
      </c>
      <c r="BC408" s="238" t="e">
        <f>IF(SUM($BC$13:BC407)&gt;0,0,IF(BB408&gt;0,B408,0))</f>
        <v>#DIV/0!</v>
      </c>
      <c r="BD408" s="292" t="e">
        <f>IF(BB408+SUM($BD$12:BD407)&gt;=0,0,-BB408-SUM($BD$12:BD407))</f>
        <v>#DIV/0!</v>
      </c>
      <c r="BE408" s="235" t="e">
        <f>BB408+SUM($BD$12:BD408)</f>
        <v>#DIV/0!</v>
      </c>
      <c r="BF408" s="292" t="e">
        <f>-MIN(BE408:$BE$501)-SUM(BF$12:$BF407)</f>
        <v>#DIV/0!</v>
      </c>
      <c r="BG408" s="235" t="e">
        <f t="shared" si="323"/>
        <v>#DIV/0!</v>
      </c>
    </row>
    <row r="409" spans="2:59">
      <c r="B409" s="120">
        <v>396</v>
      </c>
      <c r="C409" s="241">
        <f t="shared" si="322"/>
        <v>54732</v>
      </c>
      <c r="D409" s="229">
        <f t="shared" si="324"/>
        <v>11</v>
      </c>
      <c r="E409" s="230" t="str">
        <f t="shared" si="325"/>
        <v>-</v>
      </c>
      <c r="F409" s="231">
        <f t="shared" si="326"/>
        <v>0</v>
      </c>
      <c r="G409" s="231">
        <f t="shared" si="327"/>
        <v>0</v>
      </c>
      <c r="H409" s="231">
        <f t="shared" si="328"/>
        <v>0</v>
      </c>
      <c r="I409" s="268">
        <f t="shared" si="313"/>
        <v>0</v>
      </c>
      <c r="J409" s="269">
        <f t="shared" si="329"/>
        <v>0</v>
      </c>
      <c r="K409" s="269">
        <f t="shared" si="330"/>
        <v>0</v>
      </c>
      <c r="L409" s="269">
        <f t="shared" si="314"/>
        <v>0</v>
      </c>
      <c r="M409" s="269">
        <f t="shared" si="315"/>
        <v>0</v>
      </c>
      <c r="N409" s="233">
        <f>VLOOKUP(B409,Dados!$L$86:$P$90,5)</f>
        <v>0</v>
      </c>
      <c r="O409" s="270">
        <f t="shared" si="331"/>
        <v>0.99999999999999989</v>
      </c>
      <c r="P409" s="269">
        <f t="shared" si="332"/>
        <v>0</v>
      </c>
      <c r="Q409" s="269" t="e">
        <f t="shared" si="333"/>
        <v>#DIV/0!</v>
      </c>
      <c r="R409" s="269">
        <f t="shared" si="334"/>
        <v>0</v>
      </c>
      <c r="S409" s="269" t="e">
        <f t="shared" si="335"/>
        <v>#DIV/0!</v>
      </c>
      <c r="T409" s="269" t="e">
        <f t="shared" si="321"/>
        <v>#DIV/0!</v>
      </c>
      <c r="U409" s="234">
        <f t="shared" si="336"/>
        <v>0</v>
      </c>
      <c r="V409" s="232" t="e">
        <f t="shared" si="337"/>
        <v>#DIV/0!</v>
      </c>
      <c r="W409" s="269" t="e">
        <f t="shared" si="338"/>
        <v>#DIV/0!</v>
      </c>
      <c r="X409" s="235">
        <f t="shared" si="316"/>
        <v>0</v>
      </c>
      <c r="Y409" s="236">
        <f t="shared" si="339"/>
        <v>5</v>
      </c>
      <c r="Z409" s="236" t="e">
        <f t="shared" si="340"/>
        <v>#DIV/0!</v>
      </c>
      <c r="AA409" s="236">
        <f t="shared" si="341"/>
        <v>3</v>
      </c>
      <c r="AB409" s="236" t="e">
        <f t="shared" si="342"/>
        <v>#DIV/0!</v>
      </c>
      <c r="AC409" s="235">
        <f t="shared" si="343"/>
        <v>0</v>
      </c>
      <c r="AD409" s="235">
        <f t="shared" si="344"/>
        <v>0</v>
      </c>
      <c r="AE409" s="279">
        <f t="shared" si="345"/>
        <v>0</v>
      </c>
      <c r="AF409" s="232">
        <f t="shared" si="346"/>
        <v>0</v>
      </c>
      <c r="AG409" s="235">
        <f t="shared" si="347"/>
        <v>0</v>
      </c>
      <c r="AH409" s="269">
        <f t="shared" si="348"/>
        <v>0</v>
      </c>
      <c r="AI409" s="232">
        <f t="shared" si="349"/>
        <v>0</v>
      </c>
      <c r="AJ409" s="235">
        <f t="shared" si="350"/>
        <v>0</v>
      </c>
      <c r="AK409" s="269">
        <f t="shared" si="351"/>
        <v>0</v>
      </c>
      <c r="AL409" s="269">
        <f t="shared" si="317"/>
        <v>0</v>
      </c>
      <c r="AM409" s="281" t="e">
        <f>IF(B409&gt;=mpfo,pos*vvm*Dados!$E$122*(ntudv-SUM(U$301:$U410))-SUM($AM$13:AM408),0)</f>
        <v>#DIV/0!</v>
      </c>
      <c r="AN409" s="269" t="e">
        <f t="shared" si="352"/>
        <v>#DIV/0!</v>
      </c>
      <c r="AO409" s="232" t="e">
        <f t="shared" si="353"/>
        <v>#DIV/0!</v>
      </c>
      <c r="AP409" s="242" t="e">
        <f t="shared" si="354"/>
        <v>#DIV/0!</v>
      </c>
      <c r="AQ409" s="235" t="e">
        <f>IF(AP409+SUM($AQ$12:AQ408)&gt;=0,0,-AP409-SUM($AQ$12:AQ408))</f>
        <v>#DIV/0!</v>
      </c>
      <c r="AR409" s="235">
        <f>IF(SUM($N$13:N408)&gt;=pmo,IF(SUM(N408:$N$501)&gt;(1-pmo),B409,0),0)</f>
        <v>0</v>
      </c>
      <c r="AS409" s="235" t="e">
        <f>IF((SUM($U$13:$U408)/ntudv)&gt;=pmv,IF((SUM($U408:$U$501)/ntudv)&gt;(1-pmv),B409,0),0)</f>
        <v>#DIV/0!</v>
      </c>
      <c r="AT409" s="237" t="e">
        <f>IF(MAX(mmo,mmv)=mmo,IF(B409=AR409,(SUM(N$13:$N408)-pmo)/((1-VLOOKUP(MAX(mmo,mmv)-1,$B$13:$O$501,14))+(VLOOKUP(MAX(mmo,mmv)-1,$B$13:$O$501,14)-pmo)),N408/((1-VLOOKUP(MAX(mmo,mmv)-1,$B$13:$O$501,14)+(VLOOKUP(MAX(mmo,mmv)-1,$B$13:$O$501,14)-pmo)))),N408/(1-VLOOKUP(MAX(mmo,mmv)-2,$B$13:$O$501,14)))</f>
        <v>#DIV/0!</v>
      </c>
      <c r="AU409" s="101" t="e">
        <f t="shared" si="318"/>
        <v>#DIV/0!</v>
      </c>
      <c r="AV409" s="287" t="e">
        <f t="shared" si="319"/>
        <v>#DIV/0!</v>
      </c>
      <c r="AW409" s="235" t="e">
        <f t="shared" si="355"/>
        <v>#DIV/0!</v>
      </c>
      <c r="AX409" s="281">
        <f>IF(B409&gt;mpfo,0,IF(B409=mpfo,(vld-teo*(1+tcfo-incc)^(MAX(mmo,mmv)-mbfo))*-1,IF(SUM($N$13:N408)&gt;=pmo,IF(($V408/ntudv)&gt;=pmv,IF(B409=MAX(mmo,mmv),-teo*(1+tcfo-incc)^(B409-mbfo),0),0),0)))</f>
        <v>0</v>
      </c>
      <c r="AY409" s="292" t="e">
        <f t="shared" si="320"/>
        <v>#DIV/0!</v>
      </c>
      <c r="AZ409" s="235" t="e">
        <f t="shared" si="356"/>
        <v>#DIV/0!</v>
      </c>
      <c r="BA409" s="269" t="e">
        <f t="shared" si="357"/>
        <v>#DIV/0!</v>
      </c>
      <c r="BB409" s="292" t="e">
        <f t="shared" si="358"/>
        <v>#DIV/0!</v>
      </c>
      <c r="BC409" s="238" t="e">
        <f>IF(SUM($BC$13:BC408)&gt;0,0,IF(BB409&gt;0,B409,0))</f>
        <v>#DIV/0!</v>
      </c>
      <c r="BD409" s="292" t="e">
        <f>IF(BB409+SUM($BD$12:BD408)&gt;=0,0,-BB409-SUM($BD$12:BD408))</f>
        <v>#DIV/0!</v>
      </c>
      <c r="BE409" s="235" t="e">
        <f>BB409+SUM($BD$12:BD409)</f>
        <v>#DIV/0!</v>
      </c>
      <c r="BF409" s="292" t="e">
        <f>-MIN(BE409:$BE$501)-SUM(BF$12:$BF408)</f>
        <v>#DIV/0!</v>
      </c>
      <c r="BG409" s="235" t="e">
        <f t="shared" si="323"/>
        <v>#DIV/0!</v>
      </c>
    </row>
    <row r="410" spans="2:59">
      <c r="B410" s="246">
        <v>397</v>
      </c>
      <c r="C410" s="241">
        <f t="shared" si="322"/>
        <v>54762</v>
      </c>
      <c r="D410" s="229">
        <f t="shared" si="324"/>
        <v>12</v>
      </c>
      <c r="E410" s="230" t="str">
        <f t="shared" si="325"/>
        <v>-</v>
      </c>
      <c r="F410" s="231">
        <f t="shared" si="326"/>
        <v>0</v>
      </c>
      <c r="G410" s="231">
        <f t="shared" si="327"/>
        <v>0</v>
      </c>
      <c r="H410" s="231">
        <f t="shared" si="328"/>
        <v>0</v>
      </c>
      <c r="I410" s="268">
        <f t="shared" si="313"/>
        <v>0</v>
      </c>
      <c r="J410" s="269">
        <f t="shared" si="329"/>
        <v>0</v>
      </c>
      <c r="K410" s="269">
        <f t="shared" si="330"/>
        <v>0</v>
      </c>
      <c r="L410" s="269">
        <f t="shared" si="314"/>
        <v>0</v>
      </c>
      <c r="M410" s="269">
        <f t="shared" si="315"/>
        <v>0</v>
      </c>
      <c r="N410" s="233">
        <f>VLOOKUP(B410,Dados!$L$86:$P$90,5)</f>
        <v>0</v>
      </c>
      <c r="O410" s="270">
        <f t="shared" si="331"/>
        <v>0.99999999999999989</v>
      </c>
      <c r="P410" s="269">
        <f t="shared" si="332"/>
        <v>0</v>
      </c>
      <c r="Q410" s="269" t="e">
        <f t="shared" si="333"/>
        <v>#DIV/0!</v>
      </c>
      <c r="R410" s="269">
        <f t="shared" si="334"/>
        <v>0</v>
      </c>
      <c r="S410" s="269" t="e">
        <f t="shared" si="335"/>
        <v>#DIV/0!</v>
      </c>
      <c r="T410" s="269" t="e">
        <f t="shared" si="321"/>
        <v>#DIV/0!</v>
      </c>
      <c r="U410" s="234">
        <f t="shared" si="336"/>
        <v>0</v>
      </c>
      <c r="V410" s="232" t="e">
        <f t="shared" si="337"/>
        <v>#DIV/0!</v>
      </c>
      <c r="W410" s="269" t="e">
        <f t="shared" si="338"/>
        <v>#DIV/0!</v>
      </c>
      <c r="X410" s="235">
        <f t="shared" si="316"/>
        <v>0</v>
      </c>
      <c r="Y410" s="236">
        <f t="shared" si="339"/>
        <v>5</v>
      </c>
      <c r="Z410" s="236" t="e">
        <f t="shared" si="340"/>
        <v>#DIV/0!</v>
      </c>
      <c r="AA410" s="236">
        <f t="shared" si="341"/>
        <v>3</v>
      </c>
      <c r="AB410" s="236" t="e">
        <f t="shared" si="342"/>
        <v>#DIV/0!</v>
      </c>
      <c r="AC410" s="235">
        <f t="shared" si="343"/>
        <v>0</v>
      </c>
      <c r="AD410" s="235">
        <f t="shared" si="344"/>
        <v>0</v>
      </c>
      <c r="AE410" s="279">
        <f t="shared" si="345"/>
        <v>0</v>
      </c>
      <c r="AF410" s="232">
        <f t="shared" si="346"/>
        <v>1</v>
      </c>
      <c r="AG410" s="235">
        <f t="shared" si="347"/>
        <v>0</v>
      </c>
      <c r="AH410" s="269">
        <f t="shared" si="348"/>
        <v>0</v>
      </c>
      <c r="AI410" s="232">
        <f t="shared" si="349"/>
        <v>1</v>
      </c>
      <c r="AJ410" s="235">
        <f t="shared" si="350"/>
        <v>0</v>
      </c>
      <c r="AK410" s="269">
        <f t="shared" si="351"/>
        <v>0</v>
      </c>
      <c r="AL410" s="269">
        <f t="shared" si="317"/>
        <v>0</v>
      </c>
      <c r="AM410" s="281" t="e">
        <f>IF(B410&gt;=mpfo,pos*vvm*Dados!$E$122*(ntudv-SUM(U$301:$U411))-SUM($AM$13:AM409),0)</f>
        <v>#DIV/0!</v>
      </c>
      <c r="AN410" s="269" t="e">
        <f t="shared" si="352"/>
        <v>#DIV/0!</v>
      </c>
      <c r="AO410" s="232" t="e">
        <f t="shared" si="353"/>
        <v>#DIV/0!</v>
      </c>
      <c r="AP410" s="242" t="e">
        <f t="shared" si="354"/>
        <v>#DIV/0!</v>
      </c>
      <c r="AQ410" s="235" t="e">
        <f>IF(AP410+SUM($AQ$12:AQ409)&gt;=0,0,-AP410-SUM($AQ$12:AQ409))</f>
        <v>#DIV/0!</v>
      </c>
      <c r="AR410" s="235">
        <f>IF(SUM($N$13:N409)&gt;=pmo,IF(SUM(N409:$N$501)&gt;(1-pmo),B410,0),0)</f>
        <v>0</v>
      </c>
      <c r="AS410" s="235" t="e">
        <f>IF((SUM($U$13:$U409)/ntudv)&gt;=pmv,IF((SUM($U409:$U$501)/ntudv)&gt;(1-pmv),B410,0),0)</f>
        <v>#DIV/0!</v>
      </c>
      <c r="AT410" s="237" t="e">
        <f>IF(MAX(mmo,mmv)=mmo,IF(B410=AR410,(SUM(N$13:$N409)-pmo)/((1-VLOOKUP(MAX(mmo,mmv)-1,$B$13:$O$501,14))+(VLOOKUP(MAX(mmo,mmv)-1,$B$13:$O$501,14)-pmo)),N409/((1-VLOOKUP(MAX(mmo,mmv)-1,$B$13:$O$501,14)+(VLOOKUP(MAX(mmo,mmv)-1,$B$13:$O$501,14)-pmo)))),N409/(1-VLOOKUP(MAX(mmo,mmv)-2,$B$13:$O$501,14)))</f>
        <v>#DIV/0!</v>
      </c>
      <c r="AU410" s="101" t="e">
        <f t="shared" si="318"/>
        <v>#DIV/0!</v>
      </c>
      <c r="AV410" s="287" t="e">
        <f t="shared" si="319"/>
        <v>#DIV/0!</v>
      </c>
      <c r="AW410" s="235" t="e">
        <f t="shared" si="355"/>
        <v>#DIV/0!</v>
      </c>
      <c r="AX410" s="281">
        <f>IF(B410&gt;mpfo,0,IF(B410=mpfo,(vld-teo*(1+tcfo-incc)^(MAX(mmo,mmv)-mbfo))*-1,IF(SUM($N$13:N409)&gt;=pmo,IF(($V409/ntudv)&gt;=pmv,IF(B410=MAX(mmo,mmv),-teo*(1+tcfo-incc)^(B410-mbfo),0),0),0)))</f>
        <v>0</v>
      </c>
      <c r="AY410" s="292" t="e">
        <f t="shared" si="320"/>
        <v>#DIV/0!</v>
      </c>
      <c r="AZ410" s="235" t="e">
        <f t="shared" si="356"/>
        <v>#DIV/0!</v>
      </c>
      <c r="BA410" s="269" t="e">
        <f t="shared" si="357"/>
        <v>#DIV/0!</v>
      </c>
      <c r="BB410" s="292" t="e">
        <f t="shared" si="358"/>
        <v>#DIV/0!</v>
      </c>
      <c r="BC410" s="238" t="e">
        <f>IF(SUM($BC$13:BC409)&gt;0,0,IF(BB410&gt;0,B410,0))</f>
        <v>#DIV/0!</v>
      </c>
      <c r="BD410" s="292" t="e">
        <f>IF(BB410+SUM($BD$12:BD409)&gt;=0,0,-BB410-SUM($BD$12:BD409))</f>
        <v>#DIV/0!</v>
      </c>
      <c r="BE410" s="235" t="e">
        <f>BB410+SUM($BD$12:BD410)</f>
        <v>#DIV/0!</v>
      </c>
      <c r="BF410" s="292" t="e">
        <f>-MIN(BE410:$BE$501)-SUM(BF$12:$BF409)</f>
        <v>#DIV/0!</v>
      </c>
      <c r="BG410" s="235" t="e">
        <f t="shared" si="323"/>
        <v>#DIV/0!</v>
      </c>
    </row>
    <row r="411" spans="2:59">
      <c r="B411" s="120">
        <v>398</v>
      </c>
      <c r="C411" s="241">
        <f t="shared" si="322"/>
        <v>54793</v>
      </c>
      <c r="D411" s="229">
        <f t="shared" si="324"/>
        <v>1</v>
      </c>
      <c r="E411" s="230" t="str">
        <f t="shared" si="325"/>
        <v>-</v>
      </c>
      <c r="F411" s="231">
        <f t="shared" si="326"/>
        <v>0</v>
      </c>
      <c r="G411" s="231">
        <f t="shared" si="327"/>
        <v>0</v>
      </c>
      <c r="H411" s="231">
        <f t="shared" si="328"/>
        <v>0</v>
      </c>
      <c r="I411" s="268">
        <f t="shared" si="313"/>
        <v>0</v>
      </c>
      <c r="J411" s="269">
        <f t="shared" si="329"/>
        <v>0</v>
      </c>
      <c r="K411" s="269">
        <f t="shared" si="330"/>
        <v>0</v>
      </c>
      <c r="L411" s="269">
        <f t="shared" si="314"/>
        <v>0</v>
      </c>
      <c r="M411" s="269">
        <f t="shared" si="315"/>
        <v>0</v>
      </c>
      <c r="N411" s="233">
        <f>VLOOKUP(B411,Dados!$L$86:$P$90,5)</f>
        <v>0</v>
      </c>
      <c r="O411" s="270">
        <f t="shared" si="331"/>
        <v>0.99999999999999989</v>
      </c>
      <c r="P411" s="269">
        <f t="shared" si="332"/>
        <v>0</v>
      </c>
      <c r="Q411" s="269" t="e">
        <f t="shared" si="333"/>
        <v>#DIV/0!</v>
      </c>
      <c r="R411" s="269">
        <f t="shared" si="334"/>
        <v>0</v>
      </c>
      <c r="S411" s="269" t="e">
        <f t="shared" si="335"/>
        <v>#DIV/0!</v>
      </c>
      <c r="T411" s="269" t="e">
        <f t="shared" si="321"/>
        <v>#DIV/0!</v>
      </c>
      <c r="U411" s="234">
        <f t="shared" si="336"/>
        <v>0</v>
      </c>
      <c r="V411" s="232" t="e">
        <f t="shared" si="337"/>
        <v>#DIV/0!</v>
      </c>
      <c r="W411" s="269" t="e">
        <f t="shared" si="338"/>
        <v>#DIV/0!</v>
      </c>
      <c r="X411" s="235">
        <f t="shared" si="316"/>
        <v>0</v>
      </c>
      <c r="Y411" s="236">
        <f t="shared" si="339"/>
        <v>5</v>
      </c>
      <c r="Z411" s="236" t="e">
        <f t="shared" si="340"/>
        <v>#DIV/0!</v>
      </c>
      <c r="AA411" s="236">
        <f t="shared" si="341"/>
        <v>3</v>
      </c>
      <c r="AB411" s="236" t="e">
        <f t="shared" si="342"/>
        <v>#DIV/0!</v>
      </c>
      <c r="AC411" s="235">
        <f t="shared" si="343"/>
        <v>0</v>
      </c>
      <c r="AD411" s="235">
        <f t="shared" si="344"/>
        <v>0</v>
      </c>
      <c r="AE411" s="279">
        <f t="shared" si="345"/>
        <v>0</v>
      </c>
      <c r="AF411" s="232">
        <f t="shared" si="346"/>
        <v>0</v>
      </c>
      <c r="AG411" s="235">
        <f t="shared" si="347"/>
        <v>0</v>
      </c>
      <c r="AH411" s="269">
        <f t="shared" si="348"/>
        <v>0</v>
      </c>
      <c r="AI411" s="232">
        <f t="shared" si="349"/>
        <v>0</v>
      </c>
      <c r="AJ411" s="235">
        <f t="shared" si="350"/>
        <v>0</v>
      </c>
      <c r="AK411" s="269">
        <f t="shared" si="351"/>
        <v>0</v>
      </c>
      <c r="AL411" s="269">
        <f t="shared" si="317"/>
        <v>0</v>
      </c>
      <c r="AM411" s="281" t="e">
        <f>IF(B411&gt;=mpfo,pos*vvm*Dados!$E$122*(ntudv-SUM(U$301:$U412))-SUM($AM$13:AM410),0)</f>
        <v>#DIV/0!</v>
      </c>
      <c r="AN411" s="269" t="e">
        <f t="shared" si="352"/>
        <v>#DIV/0!</v>
      </c>
      <c r="AO411" s="232" t="e">
        <f t="shared" si="353"/>
        <v>#DIV/0!</v>
      </c>
      <c r="AP411" s="242" t="e">
        <f t="shared" si="354"/>
        <v>#DIV/0!</v>
      </c>
      <c r="AQ411" s="235" t="e">
        <f>IF(AP411+SUM($AQ$12:AQ410)&gt;=0,0,-AP411-SUM($AQ$12:AQ410))</f>
        <v>#DIV/0!</v>
      </c>
      <c r="AR411" s="235">
        <f>IF(SUM($N$13:N410)&gt;=pmo,IF(SUM(N410:$N$501)&gt;(1-pmo),B411,0),0)</f>
        <v>0</v>
      </c>
      <c r="AS411" s="235" t="e">
        <f>IF((SUM($U$13:$U410)/ntudv)&gt;=pmv,IF((SUM($U410:$U$501)/ntudv)&gt;(1-pmv),B411,0),0)</f>
        <v>#DIV/0!</v>
      </c>
      <c r="AT411" s="237" t="e">
        <f>IF(MAX(mmo,mmv)=mmo,IF(B411=AR411,(SUM(N$13:$N410)-pmo)/((1-VLOOKUP(MAX(mmo,mmv)-1,$B$13:$O$501,14))+(VLOOKUP(MAX(mmo,mmv)-1,$B$13:$O$501,14)-pmo)),N410/((1-VLOOKUP(MAX(mmo,mmv)-1,$B$13:$O$501,14)+(VLOOKUP(MAX(mmo,mmv)-1,$B$13:$O$501,14)-pmo)))),N410/(1-VLOOKUP(MAX(mmo,mmv)-2,$B$13:$O$501,14)))</f>
        <v>#DIV/0!</v>
      </c>
      <c r="AU411" s="101" t="e">
        <f t="shared" si="318"/>
        <v>#DIV/0!</v>
      </c>
      <c r="AV411" s="287" t="e">
        <f t="shared" si="319"/>
        <v>#DIV/0!</v>
      </c>
      <c r="AW411" s="235" t="e">
        <f t="shared" si="355"/>
        <v>#DIV/0!</v>
      </c>
      <c r="AX411" s="281">
        <f>IF(B411&gt;mpfo,0,IF(B411=mpfo,(vld-teo*(1+tcfo-incc)^(MAX(mmo,mmv)-mbfo))*-1,IF(SUM($N$13:N410)&gt;=pmo,IF(($V410/ntudv)&gt;=pmv,IF(B411=MAX(mmo,mmv),-teo*(1+tcfo-incc)^(B411-mbfo),0),0),0)))</f>
        <v>0</v>
      </c>
      <c r="AY411" s="292" t="e">
        <f t="shared" si="320"/>
        <v>#DIV/0!</v>
      </c>
      <c r="AZ411" s="235" t="e">
        <f t="shared" si="356"/>
        <v>#DIV/0!</v>
      </c>
      <c r="BA411" s="269" t="e">
        <f t="shared" si="357"/>
        <v>#DIV/0!</v>
      </c>
      <c r="BB411" s="292" t="e">
        <f t="shared" si="358"/>
        <v>#DIV/0!</v>
      </c>
      <c r="BC411" s="238" t="e">
        <f>IF(SUM($BC$13:BC410)&gt;0,0,IF(BB411&gt;0,B411,0))</f>
        <v>#DIV/0!</v>
      </c>
      <c r="BD411" s="292" t="e">
        <f>IF(BB411+SUM($BD$12:BD410)&gt;=0,0,-BB411-SUM($BD$12:BD410))</f>
        <v>#DIV/0!</v>
      </c>
      <c r="BE411" s="235" t="e">
        <f>BB411+SUM($BD$12:BD411)</f>
        <v>#DIV/0!</v>
      </c>
      <c r="BF411" s="292" t="e">
        <f>-MIN(BE411:$BE$501)-SUM(BF$12:$BF410)</f>
        <v>#DIV/0!</v>
      </c>
      <c r="BG411" s="235" t="e">
        <f t="shared" si="323"/>
        <v>#DIV/0!</v>
      </c>
    </row>
    <row r="412" spans="2:59">
      <c r="B412" s="246">
        <v>399</v>
      </c>
      <c r="C412" s="241">
        <f t="shared" si="322"/>
        <v>54824</v>
      </c>
      <c r="D412" s="229">
        <f t="shared" si="324"/>
        <v>2</v>
      </c>
      <c r="E412" s="230" t="str">
        <f t="shared" si="325"/>
        <v>-</v>
      </c>
      <c r="F412" s="231">
        <f t="shared" si="326"/>
        <v>0</v>
      </c>
      <c r="G412" s="231">
        <f t="shared" si="327"/>
        <v>0</v>
      </c>
      <c r="H412" s="231">
        <f t="shared" si="328"/>
        <v>0</v>
      </c>
      <c r="I412" s="268">
        <f t="shared" si="313"/>
        <v>0</v>
      </c>
      <c r="J412" s="269">
        <f t="shared" si="329"/>
        <v>0</v>
      </c>
      <c r="K412" s="269">
        <f t="shared" si="330"/>
        <v>0</v>
      </c>
      <c r="L412" s="269">
        <f t="shared" si="314"/>
        <v>0</v>
      </c>
      <c r="M412" s="269">
        <f t="shared" si="315"/>
        <v>0</v>
      </c>
      <c r="N412" s="233">
        <f>VLOOKUP(B412,Dados!$L$86:$P$90,5)</f>
        <v>0</v>
      </c>
      <c r="O412" s="270">
        <f t="shared" si="331"/>
        <v>0.99999999999999989</v>
      </c>
      <c r="P412" s="269">
        <f t="shared" si="332"/>
        <v>0</v>
      </c>
      <c r="Q412" s="269" t="e">
        <f t="shared" si="333"/>
        <v>#DIV/0!</v>
      </c>
      <c r="R412" s="269">
        <f t="shared" si="334"/>
        <v>0</v>
      </c>
      <c r="S412" s="269" t="e">
        <f t="shared" si="335"/>
        <v>#DIV/0!</v>
      </c>
      <c r="T412" s="269" t="e">
        <f t="shared" si="321"/>
        <v>#DIV/0!</v>
      </c>
      <c r="U412" s="234">
        <f t="shared" si="336"/>
        <v>0</v>
      </c>
      <c r="V412" s="232" t="e">
        <f t="shared" si="337"/>
        <v>#DIV/0!</v>
      </c>
      <c r="W412" s="269" t="e">
        <f t="shared" si="338"/>
        <v>#DIV/0!</v>
      </c>
      <c r="X412" s="235">
        <f t="shared" si="316"/>
        <v>0</v>
      </c>
      <c r="Y412" s="236">
        <f t="shared" si="339"/>
        <v>5</v>
      </c>
      <c r="Z412" s="236" t="e">
        <f t="shared" si="340"/>
        <v>#DIV/0!</v>
      </c>
      <c r="AA412" s="236">
        <f t="shared" si="341"/>
        <v>3</v>
      </c>
      <c r="AB412" s="236" t="e">
        <f t="shared" si="342"/>
        <v>#DIV/0!</v>
      </c>
      <c r="AC412" s="235">
        <f t="shared" si="343"/>
        <v>0</v>
      </c>
      <c r="AD412" s="235">
        <f t="shared" si="344"/>
        <v>0</v>
      </c>
      <c r="AE412" s="279">
        <f t="shared" si="345"/>
        <v>0</v>
      </c>
      <c r="AF412" s="232">
        <f t="shared" si="346"/>
        <v>0</v>
      </c>
      <c r="AG412" s="235">
        <f t="shared" si="347"/>
        <v>0</v>
      </c>
      <c r="AH412" s="269">
        <f t="shared" si="348"/>
        <v>0</v>
      </c>
      <c r="AI412" s="232">
        <f t="shared" si="349"/>
        <v>0</v>
      </c>
      <c r="AJ412" s="235">
        <f t="shared" si="350"/>
        <v>0</v>
      </c>
      <c r="AK412" s="269">
        <f t="shared" si="351"/>
        <v>0</v>
      </c>
      <c r="AL412" s="269">
        <f t="shared" si="317"/>
        <v>0</v>
      </c>
      <c r="AM412" s="281" t="e">
        <f>IF(B412&gt;=mpfo,pos*vvm*Dados!$E$122*(ntudv-SUM(U$301:$U413))-SUM($AM$13:AM411),0)</f>
        <v>#DIV/0!</v>
      </c>
      <c r="AN412" s="269" t="e">
        <f t="shared" si="352"/>
        <v>#DIV/0!</v>
      </c>
      <c r="AO412" s="232" t="e">
        <f t="shared" si="353"/>
        <v>#DIV/0!</v>
      </c>
      <c r="AP412" s="242" t="e">
        <f t="shared" si="354"/>
        <v>#DIV/0!</v>
      </c>
      <c r="AQ412" s="235" t="e">
        <f>IF(AP412+SUM($AQ$12:AQ411)&gt;=0,0,-AP412-SUM($AQ$12:AQ411))</f>
        <v>#DIV/0!</v>
      </c>
      <c r="AR412" s="235">
        <f>IF(SUM($N$13:N411)&gt;=pmo,IF(SUM(N411:$N$501)&gt;(1-pmo),B412,0),0)</f>
        <v>0</v>
      </c>
      <c r="AS412" s="235" t="e">
        <f>IF((SUM($U$13:$U411)/ntudv)&gt;=pmv,IF((SUM($U411:$U$501)/ntudv)&gt;(1-pmv),B412,0),0)</f>
        <v>#DIV/0!</v>
      </c>
      <c r="AT412" s="237" t="e">
        <f>IF(MAX(mmo,mmv)=mmo,IF(B412=AR412,(SUM(N$13:$N411)-pmo)/((1-VLOOKUP(MAX(mmo,mmv)-1,$B$13:$O$501,14))+(VLOOKUP(MAX(mmo,mmv)-1,$B$13:$O$501,14)-pmo)),N411/((1-VLOOKUP(MAX(mmo,mmv)-1,$B$13:$O$501,14)+(VLOOKUP(MAX(mmo,mmv)-1,$B$13:$O$501,14)-pmo)))),N411/(1-VLOOKUP(MAX(mmo,mmv)-2,$B$13:$O$501,14)))</f>
        <v>#DIV/0!</v>
      </c>
      <c r="AU412" s="101" t="e">
        <f t="shared" si="318"/>
        <v>#DIV/0!</v>
      </c>
      <c r="AV412" s="287" t="e">
        <f t="shared" si="319"/>
        <v>#DIV/0!</v>
      </c>
      <c r="AW412" s="235" t="e">
        <f t="shared" si="355"/>
        <v>#DIV/0!</v>
      </c>
      <c r="AX412" s="281">
        <f>IF(B412&gt;mpfo,0,IF(B412=mpfo,(vld-teo*(1+tcfo-incc)^(MAX(mmo,mmv)-mbfo))*-1,IF(SUM($N$13:N411)&gt;=pmo,IF(($V411/ntudv)&gt;=pmv,IF(B412=MAX(mmo,mmv),-teo*(1+tcfo-incc)^(B412-mbfo),0),0),0)))</f>
        <v>0</v>
      </c>
      <c r="AY412" s="292" t="e">
        <f t="shared" si="320"/>
        <v>#DIV/0!</v>
      </c>
      <c r="AZ412" s="235" t="e">
        <f t="shared" si="356"/>
        <v>#DIV/0!</v>
      </c>
      <c r="BA412" s="269" t="e">
        <f t="shared" si="357"/>
        <v>#DIV/0!</v>
      </c>
      <c r="BB412" s="292" t="e">
        <f t="shared" si="358"/>
        <v>#DIV/0!</v>
      </c>
      <c r="BC412" s="238" t="e">
        <f>IF(SUM($BC$13:BC411)&gt;0,0,IF(BB412&gt;0,B412,0))</f>
        <v>#DIV/0!</v>
      </c>
      <c r="BD412" s="292" t="e">
        <f>IF(BB412+SUM($BD$12:BD411)&gt;=0,0,-BB412-SUM($BD$12:BD411))</f>
        <v>#DIV/0!</v>
      </c>
      <c r="BE412" s="235" t="e">
        <f>BB412+SUM($BD$12:BD412)</f>
        <v>#DIV/0!</v>
      </c>
      <c r="BF412" s="292" t="e">
        <f>-MIN(BE412:$BE$501)-SUM(BF$12:$BF411)</f>
        <v>#DIV/0!</v>
      </c>
      <c r="BG412" s="235" t="e">
        <f t="shared" si="323"/>
        <v>#DIV/0!</v>
      </c>
    </row>
    <row r="413" spans="2:59">
      <c r="B413" s="120">
        <v>400</v>
      </c>
      <c r="C413" s="241">
        <f t="shared" si="322"/>
        <v>54852</v>
      </c>
      <c r="D413" s="229">
        <f t="shared" si="324"/>
        <v>3</v>
      </c>
      <c r="E413" s="230" t="str">
        <f t="shared" si="325"/>
        <v>-</v>
      </c>
      <c r="F413" s="231">
        <f t="shared" si="326"/>
        <v>0</v>
      </c>
      <c r="G413" s="231">
        <f t="shared" si="327"/>
        <v>0</v>
      </c>
      <c r="H413" s="231">
        <f t="shared" si="328"/>
        <v>0</v>
      </c>
      <c r="I413" s="268">
        <f t="shared" si="313"/>
        <v>0</v>
      </c>
      <c r="J413" s="269">
        <f t="shared" si="329"/>
        <v>0</v>
      </c>
      <c r="K413" s="269">
        <f t="shared" si="330"/>
        <v>0</v>
      </c>
      <c r="L413" s="269">
        <f t="shared" si="314"/>
        <v>0</v>
      </c>
      <c r="M413" s="269">
        <f t="shared" si="315"/>
        <v>0</v>
      </c>
      <c r="N413" s="233">
        <f>VLOOKUP(B413,Dados!$L$86:$P$90,5)</f>
        <v>0</v>
      </c>
      <c r="O413" s="270">
        <f t="shared" si="331"/>
        <v>0.99999999999999989</v>
      </c>
      <c r="P413" s="269">
        <f t="shared" si="332"/>
        <v>0</v>
      </c>
      <c r="Q413" s="269" t="e">
        <f t="shared" si="333"/>
        <v>#DIV/0!</v>
      </c>
      <c r="R413" s="269">
        <f t="shared" si="334"/>
        <v>0</v>
      </c>
      <c r="S413" s="269" t="e">
        <f t="shared" si="335"/>
        <v>#DIV/0!</v>
      </c>
      <c r="T413" s="269" t="e">
        <f t="shared" si="321"/>
        <v>#DIV/0!</v>
      </c>
      <c r="U413" s="234">
        <f t="shared" si="336"/>
        <v>0</v>
      </c>
      <c r="V413" s="232" t="e">
        <f t="shared" si="337"/>
        <v>#DIV/0!</v>
      </c>
      <c r="W413" s="269" t="e">
        <f t="shared" si="338"/>
        <v>#DIV/0!</v>
      </c>
      <c r="X413" s="235">
        <f t="shared" si="316"/>
        <v>0</v>
      </c>
      <c r="Y413" s="236">
        <f t="shared" si="339"/>
        <v>5</v>
      </c>
      <c r="Z413" s="236" t="e">
        <f t="shared" si="340"/>
        <v>#DIV/0!</v>
      </c>
      <c r="AA413" s="236">
        <f t="shared" si="341"/>
        <v>3</v>
      </c>
      <c r="AB413" s="236" t="e">
        <f t="shared" si="342"/>
        <v>#DIV/0!</v>
      </c>
      <c r="AC413" s="235">
        <f t="shared" si="343"/>
        <v>0</v>
      </c>
      <c r="AD413" s="235">
        <f t="shared" si="344"/>
        <v>0</v>
      </c>
      <c r="AE413" s="279">
        <f t="shared" si="345"/>
        <v>0</v>
      </c>
      <c r="AF413" s="232">
        <f t="shared" si="346"/>
        <v>0</v>
      </c>
      <c r="AG413" s="235">
        <f t="shared" si="347"/>
        <v>0</v>
      </c>
      <c r="AH413" s="269">
        <f t="shared" si="348"/>
        <v>0</v>
      </c>
      <c r="AI413" s="232">
        <f t="shared" si="349"/>
        <v>0</v>
      </c>
      <c r="AJ413" s="235">
        <f t="shared" si="350"/>
        <v>0</v>
      </c>
      <c r="AK413" s="269">
        <f t="shared" si="351"/>
        <v>0</v>
      </c>
      <c r="AL413" s="269">
        <f t="shared" si="317"/>
        <v>0</v>
      </c>
      <c r="AM413" s="281" t="e">
        <f>IF(B413&gt;=mpfo,pos*vvm*Dados!$E$122*(ntudv-SUM(U$301:$U414))-SUM($AM$13:AM412),0)</f>
        <v>#DIV/0!</v>
      </c>
      <c r="AN413" s="269" t="e">
        <f t="shared" si="352"/>
        <v>#DIV/0!</v>
      </c>
      <c r="AO413" s="232" t="e">
        <f t="shared" si="353"/>
        <v>#DIV/0!</v>
      </c>
      <c r="AP413" s="242" t="e">
        <f t="shared" si="354"/>
        <v>#DIV/0!</v>
      </c>
      <c r="AQ413" s="235" t="e">
        <f>IF(AP413+SUM($AQ$12:AQ412)&gt;=0,0,-AP413-SUM($AQ$12:AQ412))</f>
        <v>#DIV/0!</v>
      </c>
      <c r="AR413" s="235">
        <f>IF(SUM($N$13:N412)&gt;=pmo,IF(SUM(N412:$N$501)&gt;(1-pmo),B413,0),0)</f>
        <v>0</v>
      </c>
      <c r="AS413" s="235" t="e">
        <f>IF((SUM($U$13:$U412)/ntudv)&gt;=pmv,IF((SUM($U412:$U$501)/ntudv)&gt;(1-pmv),B413,0),0)</f>
        <v>#DIV/0!</v>
      </c>
      <c r="AT413" s="237" t="e">
        <f>IF(MAX(mmo,mmv)=mmo,IF(B413=AR413,(SUM(N$13:$N412)-pmo)/((1-VLOOKUP(MAX(mmo,mmv)-1,$B$13:$O$501,14))+(VLOOKUP(MAX(mmo,mmv)-1,$B$13:$O$501,14)-pmo)),N412/((1-VLOOKUP(MAX(mmo,mmv)-1,$B$13:$O$501,14)+(VLOOKUP(MAX(mmo,mmv)-1,$B$13:$O$501,14)-pmo)))),N412/(1-VLOOKUP(MAX(mmo,mmv)-2,$B$13:$O$501,14)))</f>
        <v>#DIV/0!</v>
      </c>
      <c r="AU413" s="101" t="e">
        <f t="shared" si="318"/>
        <v>#DIV/0!</v>
      </c>
      <c r="AV413" s="287" t="e">
        <f t="shared" si="319"/>
        <v>#DIV/0!</v>
      </c>
      <c r="AW413" s="235" t="e">
        <f t="shared" si="355"/>
        <v>#DIV/0!</v>
      </c>
      <c r="AX413" s="281">
        <f>IF(B413&gt;mpfo,0,IF(B413=mpfo,(vld-teo*(1+tcfo-incc)^(MAX(mmo,mmv)-mbfo))*-1,IF(SUM($N$13:N412)&gt;=pmo,IF(($V412/ntudv)&gt;=pmv,IF(B413=MAX(mmo,mmv),-teo*(1+tcfo-incc)^(B413-mbfo),0),0),0)))</f>
        <v>0</v>
      </c>
      <c r="AY413" s="292" t="e">
        <f t="shared" si="320"/>
        <v>#DIV/0!</v>
      </c>
      <c r="AZ413" s="235" t="e">
        <f t="shared" si="356"/>
        <v>#DIV/0!</v>
      </c>
      <c r="BA413" s="269" t="e">
        <f t="shared" si="357"/>
        <v>#DIV/0!</v>
      </c>
      <c r="BB413" s="292" t="e">
        <f t="shared" si="358"/>
        <v>#DIV/0!</v>
      </c>
      <c r="BC413" s="238" t="e">
        <f>IF(SUM($BC$13:BC412)&gt;0,0,IF(BB413&gt;0,B413,0))</f>
        <v>#DIV/0!</v>
      </c>
      <c r="BD413" s="292" t="e">
        <f>IF(BB413+SUM($BD$12:BD412)&gt;=0,0,-BB413-SUM($BD$12:BD412))</f>
        <v>#DIV/0!</v>
      </c>
      <c r="BE413" s="235" t="e">
        <f>BB413+SUM($BD$12:BD413)</f>
        <v>#DIV/0!</v>
      </c>
      <c r="BF413" s="292" t="e">
        <f>-MIN(BE413:$BE$501)-SUM(BF$12:$BF412)</f>
        <v>#DIV/0!</v>
      </c>
      <c r="BG413" s="235" t="e">
        <f t="shared" si="323"/>
        <v>#DIV/0!</v>
      </c>
    </row>
    <row r="414" spans="2:59">
      <c r="B414" s="246">
        <v>401</v>
      </c>
      <c r="C414" s="241">
        <f t="shared" si="322"/>
        <v>54883</v>
      </c>
      <c r="D414" s="229">
        <f t="shared" si="324"/>
        <v>4</v>
      </c>
      <c r="E414" s="230" t="str">
        <f t="shared" si="325"/>
        <v>-</v>
      </c>
      <c r="F414" s="231">
        <f t="shared" si="326"/>
        <v>0</v>
      </c>
      <c r="G414" s="231">
        <f t="shared" si="327"/>
        <v>0</v>
      </c>
      <c r="H414" s="231">
        <f t="shared" si="328"/>
        <v>0</v>
      </c>
      <c r="I414" s="268">
        <f t="shared" si="313"/>
        <v>0</v>
      </c>
      <c r="J414" s="269">
        <f t="shared" si="329"/>
        <v>0</v>
      </c>
      <c r="K414" s="269">
        <f t="shared" si="330"/>
        <v>0</v>
      </c>
      <c r="L414" s="269">
        <f t="shared" si="314"/>
        <v>0</v>
      </c>
      <c r="M414" s="269">
        <f t="shared" si="315"/>
        <v>0</v>
      </c>
      <c r="N414" s="233">
        <f>VLOOKUP(B414,Dados!$L$86:$P$90,5)</f>
        <v>0</v>
      </c>
      <c r="O414" s="270">
        <f t="shared" si="331"/>
        <v>0.99999999999999989</v>
      </c>
      <c r="P414" s="269">
        <f t="shared" si="332"/>
        <v>0</v>
      </c>
      <c r="Q414" s="269" t="e">
        <f t="shared" si="333"/>
        <v>#DIV/0!</v>
      </c>
      <c r="R414" s="269">
        <f t="shared" si="334"/>
        <v>0</v>
      </c>
      <c r="S414" s="269" t="e">
        <f t="shared" si="335"/>
        <v>#DIV/0!</v>
      </c>
      <c r="T414" s="269" t="e">
        <f t="shared" si="321"/>
        <v>#DIV/0!</v>
      </c>
      <c r="U414" s="234">
        <f t="shared" si="336"/>
        <v>0</v>
      </c>
      <c r="V414" s="232" t="e">
        <f t="shared" si="337"/>
        <v>#DIV/0!</v>
      </c>
      <c r="W414" s="269" t="e">
        <f t="shared" si="338"/>
        <v>#DIV/0!</v>
      </c>
      <c r="X414" s="235">
        <f t="shared" si="316"/>
        <v>0</v>
      </c>
      <c r="Y414" s="236">
        <f t="shared" si="339"/>
        <v>5</v>
      </c>
      <c r="Z414" s="236" t="e">
        <f t="shared" si="340"/>
        <v>#DIV/0!</v>
      </c>
      <c r="AA414" s="236">
        <f t="shared" si="341"/>
        <v>3</v>
      </c>
      <c r="AB414" s="236" t="e">
        <f t="shared" si="342"/>
        <v>#DIV/0!</v>
      </c>
      <c r="AC414" s="235">
        <f t="shared" si="343"/>
        <v>0</v>
      </c>
      <c r="AD414" s="235">
        <f t="shared" si="344"/>
        <v>0</v>
      </c>
      <c r="AE414" s="279">
        <f t="shared" si="345"/>
        <v>0</v>
      </c>
      <c r="AF414" s="232">
        <f t="shared" si="346"/>
        <v>0</v>
      </c>
      <c r="AG414" s="235">
        <f t="shared" si="347"/>
        <v>0</v>
      </c>
      <c r="AH414" s="269">
        <f t="shared" si="348"/>
        <v>0</v>
      </c>
      <c r="AI414" s="232">
        <f t="shared" si="349"/>
        <v>0</v>
      </c>
      <c r="AJ414" s="235">
        <f t="shared" si="350"/>
        <v>0</v>
      </c>
      <c r="AK414" s="269">
        <f t="shared" si="351"/>
        <v>0</v>
      </c>
      <c r="AL414" s="269">
        <f t="shared" si="317"/>
        <v>0</v>
      </c>
      <c r="AM414" s="281" t="e">
        <f>IF(B414&gt;=mpfo,pos*vvm*Dados!$E$122*(ntudv-SUM(U$301:$U415))-SUM($AM$13:AM413),0)</f>
        <v>#DIV/0!</v>
      </c>
      <c r="AN414" s="269" t="e">
        <f t="shared" si="352"/>
        <v>#DIV/0!</v>
      </c>
      <c r="AO414" s="232" t="e">
        <f t="shared" si="353"/>
        <v>#DIV/0!</v>
      </c>
      <c r="AP414" s="242" t="e">
        <f t="shared" si="354"/>
        <v>#DIV/0!</v>
      </c>
      <c r="AQ414" s="235" t="e">
        <f>IF(AP414+SUM($AQ$12:AQ413)&gt;=0,0,-AP414-SUM($AQ$12:AQ413))</f>
        <v>#DIV/0!</v>
      </c>
      <c r="AR414" s="235">
        <f>IF(SUM($N$13:N413)&gt;=pmo,IF(SUM(N413:$N$501)&gt;(1-pmo),B414,0),0)</f>
        <v>0</v>
      </c>
      <c r="AS414" s="235" t="e">
        <f>IF((SUM($U$13:$U413)/ntudv)&gt;=pmv,IF((SUM($U413:$U$501)/ntudv)&gt;(1-pmv),B414,0),0)</f>
        <v>#DIV/0!</v>
      </c>
      <c r="AT414" s="237" t="e">
        <f>IF(MAX(mmo,mmv)=mmo,IF(B414=AR414,(SUM(N$13:$N413)-pmo)/((1-VLOOKUP(MAX(mmo,mmv)-1,$B$13:$O$501,14))+(VLOOKUP(MAX(mmo,mmv)-1,$B$13:$O$501,14)-pmo)),N413/((1-VLOOKUP(MAX(mmo,mmv)-1,$B$13:$O$501,14)+(VLOOKUP(MAX(mmo,mmv)-1,$B$13:$O$501,14)-pmo)))),N413/(1-VLOOKUP(MAX(mmo,mmv)-2,$B$13:$O$501,14)))</f>
        <v>#DIV/0!</v>
      </c>
      <c r="AU414" s="101" t="e">
        <f t="shared" si="318"/>
        <v>#DIV/0!</v>
      </c>
      <c r="AV414" s="287" t="e">
        <f t="shared" si="319"/>
        <v>#DIV/0!</v>
      </c>
      <c r="AW414" s="235" t="e">
        <f t="shared" si="355"/>
        <v>#DIV/0!</v>
      </c>
      <c r="AX414" s="281">
        <f>IF(B414&gt;mpfo,0,IF(B414=mpfo,(vld-teo*(1+tcfo-incc)^(MAX(mmo,mmv)-mbfo))*-1,IF(SUM($N$13:N413)&gt;=pmo,IF(($V413/ntudv)&gt;=pmv,IF(B414=MAX(mmo,mmv),-teo*(1+tcfo-incc)^(B414-mbfo),0),0),0)))</f>
        <v>0</v>
      </c>
      <c r="AY414" s="292" t="e">
        <f t="shared" si="320"/>
        <v>#DIV/0!</v>
      </c>
      <c r="AZ414" s="235" t="e">
        <f t="shared" si="356"/>
        <v>#DIV/0!</v>
      </c>
      <c r="BA414" s="269" t="e">
        <f t="shared" si="357"/>
        <v>#DIV/0!</v>
      </c>
      <c r="BB414" s="292" t="e">
        <f t="shared" si="358"/>
        <v>#DIV/0!</v>
      </c>
      <c r="BC414" s="238" t="e">
        <f>IF(SUM($BC$13:BC413)&gt;0,0,IF(BB414&gt;0,B414,0))</f>
        <v>#DIV/0!</v>
      </c>
      <c r="BD414" s="292" t="e">
        <f>IF(BB414+SUM($BD$12:BD413)&gt;=0,0,-BB414-SUM($BD$12:BD413))</f>
        <v>#DIV/0!</v>
      </c>
      <c r="BE414" s="235" t="e">
        <f>BB414+SUM($BD$12:BD414)</f>
        <v>#DIV/0!</v>
      </c>
      <c r="BF414" s="292" t="e">
        <f>-MIN(BE414:$BE$501)-SUM(BF$12:$BF413)</f>
        <v>#DIV/0!</v>
      </c>
      <c r="BG414" s="235" t="e">
        <f t="shared" si="323"/>
        <v>#DIV/0!</v>
      </c>
    </row>
    <row r="415" spans="2:59">
      <c r="B415" s="120">
        <v>402</v>
      </c>
      <c r="C415" s="241">
        <f t="shared" si="322"/>
        <v>54913</v>
      </c>
      <c r="D415" s="229">
        <f t="shared" si="324"/>
        <v>5</v>
      </c>
      <c r="E415" s="230" t="str">
        <f t="shared" si="325"/>
        <v>-</v>
      </c>
      <c r="F415" s="231">
        <f t="shared" si="326"/>
        <v>0</v>
      </c>
      <c r="G415" s="231">
        <f t="shared" si="327"/>
        <v>0</v>
      </c>
      <c r="H415" s="231">
        <f t="shared" si="328"/>
        <v>0</v>
      </c>
      <c r="I415" s="268">
        <f t="shared" si="313"/>
        <v>0</v>
      </c>
      <c r="J415" s="269">
        <f t="shared" si="329"/>
        <v>0</v>
      </c>
      <c r="K415" s="269">
        <f t="shared" si="330"/>
        <v>0</v>
      </c>
      <c r="L415" s="269">
        <f t="shared" si="314"/>
        <v>0</v>
      </c>
      <c r="M415" s="269">
        <f t="shared" si="315"/>
        <v>0</v>
      </c>
      <c r="N415" s="233">
        <f>VLOOKUP(B415,Dados!$L$86:$P$90,5)</f>
        <v>0</v>
      </c>
      <c r="O415" s="270">
        <f t="shared" si="331"/>
        <v>0.99999999999999989</v>
      </c>
      <c r="P415" s="269">
        <f t="shared" si="332"/>
        <v>0</v>
      </c>
      <c r="Q415" s="269" t="e">
        <f t="shared" si="333"/>
        <v>#DIV/0!</v>
      </c>
      <c r="R415" s="269">
        <f t="shared" si="334"/>
        <v>0</v>
      </c>
      <c r="S415" s="269" t="e">
        <f t="shared" si="335"/>
        <v>#DIV/0!</v>
      </c>
      <c r="T415" s="269" t="e">
        <f t="shared" si="321"/>
        <v>#DIV/0!</v>
      </c>
      <c r="U415" s="234">
        <f t="shared" si="336"/>
        <v>0</v>
      </c>
      <c r="V415" s="232" t="e">
        <f t="shared" si="337"/>
        <v>#DIV/0!</v>
      </c>
      <c r="W415" s="269" t="e">
        <f t="shared" si="338"/>
        <v>#DIV/0!</v>
      </c>
      <c r="X415" s="235">
        <f t="shared" si="316"/>
        <v>0</v>
      </c>
      <c r="Y415" s="236">
        <f t="shared" si="339"/>
        <v>5</v>
      </c>
      <c r="Z415" s="236" t="e">
        <f t="shared" si="340"/>
        <v>#DIV/0!</v>
      </c>
      <c r="AA415" s="236">
        <f t="shared" si="341"/>
        <v>3</v>
      </c>
      <c r="AB415" s="236" t="e">
        <f t="shared" si="342"/>
        <v>#DIV/0!</v>
      </c>
      <c r="AC415" s="235">
        <f t="shared" si="343"/>
        <v>0</v>
      </c>
      <c r="AD415" s="235">
        <f t="shared" si="344"/>
        <v>0</v>
      </c>
      <c r="AE415" s="279">
        <f t="shared" si="345"/>
        <v>0</v>
      </c>
      <c r="AF415" s="232">
        <f t="shared" si="346"/>
        <v>0</v>
      </c>
      <c r="AG415" s="235">
        <f t="shared" si="347"/>
        <v>0</v>
      </c>
      <c r="AH415" s="269">
        <f t="shared" si="348"/>
        <v>0</v>
      </c>
      <c r="AI415" s="232">
        <f t="shared" si="349"/>
        <v>0</v>
      </c>
      <c r="AJ415" s="235">
        <f t="shared" si="350"/>
        <v>0</v>
      </c>
      <c r="AK415" s="269">
        <f t="shared" si="351"/>
        <v>0</v>
      </c>
      <c r="AL415" s="269">
        <f t="shared" si="317"/>
        <v>0</v>
      </c>
      <c r="AM415" s="281" t="e">
        <f>IF(B415&gt;=mpfo,pos*vvm*Dados!$E$122*(ntudv-SUM(U$301:$U416))-SUM($AM$13:AM414),0)</f>
        <v>#DIV/0!</v>
      </c>
      <c r="AN415" s="269" t="e">
        <f t="shared" si="352"/>
        <v>#DIV/0!</v>
      </c>
      <c r="AO415" s="232" t="e">
        <f t="shared" si="353"/>
        <v>#DIV/0!</v>
      </c>
      <c r="AP415" s="242" t="e">
        <f t="shared" si="354"/>
        <v>#DIV/0!</v>
      </c>
      <c r="AQ415" s="235" t="e">
        <f>IF(AP415+SUM($AQ$12:AQ414)&gt;=0,0,-AP415-SUM($AQ$12:AQ414))</f>
        <v>#DIV/0!</v>
      </c>
      <c r="AR415" s="235">
        <f>IF(SUM($N$13:N414)&gt;=pmo,IF(SUM(N414:$N$501)&gt;(1-pmo),B415,0),0)</f>
        <v>0</v>
      </c>
      <c r="AS415" s="235" t="e">
        <f>IF((SUM($U$13:$U414)/ntudv)&gt;=pmv,IF((SUM($U414:$U$501)/ntudv)&gt;(1-pmv),B415,0),0)</f>
        <v>#DIV/0!</v>
      </c>
      <c r="AT415" s="237" t="e">
        <f>IF(MAX(mmo,mmv)=mmo,IF(B415=AR415,(SUM(N$13:$N414)-pmo)/((1-VLOOKUP(MAX(mmo,mmv)-1,$B$13:$O$501,14))+(VLOOKUP(MAX(mmo,mmv)-1,$B$13:$O$501,14)-pmo)),N414/((1-VLOOKUP(MAX(mmo,mmv)-1,$B$13:$O$501,14)+(VLOOKUP(MAX(mmo,mmv)-1,$B$13:$O$501,14)-pmo)))),N414/(1-VLOOKUP(MAX(mmo,mmv)-2,$B$13:$O$501,14)))</f>
        <v>#DIV/0!</v>
      </c>
      <c r="AU415" s="101" t="e">
        <f t="shared" si="318"/>
        <v>#DIV/0!</v>
      </c>
      <c r="AV415" s="287" t="e">
        <f t="shared" si="319"/>
        <v>#DIV/0!</v>
      </c>
      <c r="AW415" s="235" t="e">
        <f t="shared" si="355"/>
        <v>#DIV/0!</v>
      </c>
      <c r="AX415" s="281">
        <f>IF(B415&gt;mpfo,0,IF(B415=mpfo,(vld-teo*(1+tcfo-incc)^(MAX(mmo,mmv)-mbfo))*-1,IF(SUM($N$13:N414)&gt;=pmo,IF(($V414/ntudv)&gt;=pmv,IF(B415=MAX(mmo,mmv),-teo*(1+tcfo-incc)^(B415-mbfo),0),0),0)))</f>
        <v>0</v>
      </c>
      <c r="AY415" s="292" t="e">
        <f t="shared" si="320"/>
        <v>#DIV/0!</v>
      </c>
      <c r="AZ415" s="235" t="e">
        <f t="shared" si="356"/>
        <v>#DIV/0!</v>
      </c>
      <c r="BA415" s="269" t="e">
        <f t="shared" si="357"/>
        <v>#DIV/0!</v>
      </c>
      <c r="BB415" s="292" t="e">
        <f t="shared" si="358"/>
        <v>#DIV/0!</v>
      </c>
      <c r="BC415" s="238" t="e">
        <f>IF(SUM($BC$13:BC414)&gt;0,0,IF(BB415&gt;0,B415,0))</f>
        <v>#DIV/0!</v>
      </c>
      <c r="BD415" s="292" t="e">
        <f>IF(BB415+SUM($BD$12:BD414)&gt;=0,0,-BB415-SUM($BD$12:BD414))</f>
        <v>#DIV/0!</v>
      </c>
      <c r="BE415" s="235" t="e">
        <f>BB415+SUM($BD$12:BD415)</f>
        <v>#DIV/0!</v>
      </c>
      <c r="BF415" s="292" t="e">
        <f>-MIN(BE415:$BE$501)-SUM(BF$12:$BF414)</f>
        <v>#DIV/0!</v>
      </c>
      <c r="BG415" s="235" t="e">
        <f t="shared" si="323"/>
        <v>#DIV/0!</v>
      </c>
    </row>
    <row r="416" spans="2:59">
      <c r="B416" s="246">
        <v>403</v>
      </c>
      <c r="C416" s="241">
        <f t="shared" si="322"/>
        <v>54944</v>
      </c>
      <c r="D416" s="229">
        <f t="shared" si="324"/>
        <v>6</v>
      </c>
      <c r="E416" s="230" t="str">
        <f t="shared" si="325"/>
        <v>-</v>
      </c>
      <c r="F416" s="231">
        <f t="shared" si="326"/>
        <v>0</v>
      </c>
      <c r="G416" s="231">
        <f t="shared" si="327"/>
        <v>0</v>
      </c>
      <c r="H416" s="231">
        <f t="shared" si="328"/>
        <v>0</v>
      </c>
      <c r="I416" s="268">
        <f t="shared" si="313"/>
        <v>0</v>
      </c>
      <c r="J416" s="269">
        <f t="shared" si="329"/>
        <v>0</v>
      </c>
      <c r="K416" s="269">
        <f t="shared" si="330"/>
        <v>0</v>
      </c>
      <c r="L416" s="269">
        <f t="shared" si="314"/>
        <v>0</v>
      </c>
      <c r="M416" s="269">
        <f t="shared" si="315"/>
        <v>0</v>
      </c>
      <c r="N416" s="233">
        <f>VLOOKUP(B416,Dados!$L$86:$P$90,5)</f>
        <v>0</v>
      </c>
      <c r="O416" s="270">
        <f t="shared" si="331"/>
        <v>0.99999999999999989</v>
      </c>
      <c r="P416" s="269">
        <f t="shared" si="332"/>
        <v>0</v>
      </c>
      <c r="Q416" s="269" t="e">
        <f t="shared" si="333"/>
        <v>#DIV/0!</v>
      </c>
      <c r="R416" s="269">
        <f t="shared" si="334"/>
        <v>0</v>
      </c>
      <c r="S416" s="269" t="e">
        <f t="shared" si="335"/>
        <v>#DIV/0!</v>
      </c>
      <c r="T416" s="269" t="e">
        <f t="shared" si="321"/>
        <v>#DIV/0!</v>
      </c>
      <c r="U416" s="234">
        <f t="shared" si="336"/>
        <v>0</v>
      </c>
      <c r="V416" s="232" t="e">
        <f t="shared" si="337"/>
        <v>#DIV/0!</v>
      </c>
      <c r="W416" s="269" t="e">
        <f t="shared" si="338"/>
        <v>#DIV/0!</v>
      </c>
      <c r="X416" s="235">
        <f t="shared" si="316"/>
        <v>0</v>
      </c>
      <c r="Y416" s="236">
        <f t="shared" si="339"/>
        <v>5</v>
      </c>
      <c r="Z416" s="236" t="e">
        <f t="shared" si="340"/>
        <v>#DIV/0!</v>
      </c>
      <c r="AA416" s="236">
        <f t="shared" si="341"/>
        <v>3</v>
      </c>
      <c r="AB416" s="236" t="e">
        <f t="shared" si="342"/>
        <v>#DIV/0!</v>
      </c>
      <c r="AC416" s="235">
        <f t="shared" si="343"/>
        <v>0</v>
      </c>
      <c r="AD416" s="235">
        <f t="shared" si="344"/>
        <v>0</v>
      </c>
      <c r="AE416" s="279">
        <f t="shared" si="345"/>
        <v>0</v>
      </c>
      <c r="AF416" s="232">
        <f t="shared" si="346"/>
        <v>1</v>
      </c>
      <c r="AG416" s="235">
        <f t="shared" si="347"/>
        <v>0</v>
      </c>
      <c r="AH416" s="269">
        <f t="shared" si="348"/>
        <v>0</v>
      </c>
      <c r="AI416" s="232">
        <f t="shared" si="349"/>
        <v>0</v>
      </c>
      <c r="AJ416" s="235">
        <f t="shared" si="350"/>
        <v>0</v>
      </c>
      <c r="AK416" s="269">
        <f t="shared" si="351"/>
        <v>0</v>
      </c>
      <c r="AL416" s="269">
        <f t="shared" si="317"/>
        <v>0</v>
      </c>
      <c r="AM416" s="281" t="e">
        <f>IF(B416&gt;=mpfo,pos*vvm*Dados!$E$122*(ntudv-SUM(U$301:$U417))-SUM($AM$13:AM415),0)</f>
        <v>#DIV/0!</v>
      </c>
      <c r="AN416" s="269" t="e">
        <f t="shared" si="352"/>
        <v>#DIV/0!</v>
      </c>
      <c r="AO416" s="232" t="e">
        <f t="shared" si="353"/>
        <v>#DIV/0!</v>
      </c>
      <c r="AP416" s="242" t="e">
        <f t="shared" si="354"/>
        <v>#DIV/0!</v>
      </c>
      <c r="AQ416" s="235" t="e">
        <f>IF(AP416+SUM($AQ$12:AQ415)&gt;=0,0,-AP416-SUM($AQ$12:AQ415))</f>
        <v>#DIV/0!</v>
      </c>
      <c r="AR416" s="235">
        <f>IF(SUM($N$13:N415)&gt;=pmo,IF(SUM(N415:$N$501)&gt;(1-pmo),B416,0),0)</f>
        <v>0</v>
      </c>
      <c r="AS416" s="235" t="e">
        <f>IF((SUM($U$13:$U415)/ntudv)&gt;=pmv,IF((SUM($U415:$U$501)/ntudv)&gt;(1-pmv),B416,0),0)</f>
        <v>#DIV/0!</v>
      </c>
      <c r="AT416" s="237" t="e">
        <f>IF(MAX(mmo,mmv)=mmo,IF(B416=AR416,(SUM(N$13:$N415)-pmo)/((1-VLOOKUP(MAX(mmo,mmv)-1,$B$13:$O$501,14))+(VLOOKUP(MAX(mmo,mmv)-1,$B$13:$O$501,14)-pmo)),N415/((1-VLOOKUP(MAX(mmo,mmv)-1,$B$13:$O$501,14)+(VLOOKUP(MAX(mmo,mmv)-1,$B$13:$O$501,14)-pmo)))),N415/(1-VLOOKUP(MAX(mmo,mmv)-2,$B$13:$O$501,14)))</f>
        <v>#DIV/0!</v>
      </c>
      <c r="AU416" s="101" t="e">
        <f t="shared" si="318"/>
        <v>#DIV/0!</v>
      </c>
      <c r="AV416" s="287" t="e">
        <f t="shared" si="319"/>
        <v>#DIV/0!</v>
      </c>
      <c r="AW416" s="235" t="e">
        <f t="shared" si="355"/>
        <v>#DIV/0!</v>
      </c>
      <c r="AX416" s="281">
        <f>IF(B416&gt;mpfo,0,IF(B416=mpfo,(vld-teo*(1+tcfo-incc)^(MAX(mmo,mmv)-mbfo))*-1,IF(SUM($N$13:N415)&gt;=pmo,IF(($V415/ntudv)&gt;=pmv,IF(B416=MAX(mmo,mmv),-teo*(1+tcfo-incc)^(B416-mbfo),0),0),0)))</f>
        <v>0</v>
      </c>
      <c r="AY416" s="292" t="e">
        <f t="shared" si="320"/>
        <v>#DIV/0!</v>
      </c>
      <c r="AZ416" s="235" t="e">
        <f t="shared" si="356"/>
        <v>#DIV/0!</v>
      </c>
      <c r="BA416" s="269" t="e">
        <f t="shared" si="357"/>
        <v>#DIV/0!</v>
      </c>
      <c r="BB416" s="292" t="e">
        <f t="shared" si="358"/>
        <v>#DIV/0!</v>
      </c>
      <c r="BC416" s="238" t="e">
        <f>IF(SUM($BC$13:BC415)&gt;0,0,IF(BB416&gt;0,B416,0))</f>
        <v>#DIV/0!</v>
      </c>
      <c r="BD416" s="292" t="e">
        <f>IF(BB416+SUM($BD$12:BD415)&gt;=0,0,-BB416-SUM($BD$12:BD415))</f>
        <v>#DIV/0!</v>
      </c>
      <c r="BE416" s="235" t="e">
        <f>BB416+SUM($BD$12:BD416)</f>
        <v>#DIV/0!</v>
      </c>
      <c r="BF416" s="292" t="e">
        <f>-MIN(BE416:$BE$501)-SUM(BF$12:$BF415)</f>
        <v>#DIV/0!</v>
      </c>
      <c r="BG416" s="235" t="e">
        <f t="shared" si="323"/>
        <v>#DIV/0!</v>
      </c>
    </row>
    <row r="417" spans="2:59">
      <c r="B417" s="120">
        <v>404</v>
      </c>
      <c r="C417" s="241">
        <f t="shared" si="322"/>
        <v>54974</v>
      </c>
      <c r="D417" s="229">
        <f t="shared" si="324"/>
        <v>7</v>
      </c>
      <c r="E417" s="230" t="str">
        <f t="shared" si="325"/>
        <v>-</v>
      </c>
      <c r="F417" s="231">
        <f t="shared" si="326"/>
        <v>0</v>
      </c>
      <c r="G417" s="231">
        <f t="shared" si="327"/>
        <v>0</v>
      </c>
      <c r="H417" s="231">
        <f t="shared" si="328"/>
        <v>0</v>
      </c>
      <c r="I417" s="268">
        <f t="shared" si="313"/>
        <v>0</v>
      </c>
      <c r="J417" s="269">
        <f t="shared" si="329"/>
        <v>0</v>
      </c>
      <c r="K417" s="269">
        <f t="shared" si="330"/>
        <v>0</v>
      </c>
      <c r="L417" s="269">
        <f t="shared" si="314"/>
        <v>0</v>
      </c>
      <c r="M417" s="269">
        <f t="shared" si="315"/>
        <v>0</v>
      </c>
      <c r="N417" s="233">
        <f>VLOOKUP(B417,Dados!$L$86:$P$90,5)</f>
        <v>0</v>
      </c>
      <c r="O417" s="270">
        <f t="shared" si="331"/>
        <v>0.99999999999999989</v>
      </c>
      <c r="P417" s="269">
        <f t="shared" si="332"/>
        <v>0</v>
      </c>
      <c r="Q417" s="269" t="e">
        <f t="shared" si="333"/>
        <v>#DIV/0!</v>
      </c>
      <c r="R417" s="269">
        <f t="shared" si="334"/>
        <v>0</v>
      </c>
      <c r="S417" s="269" t="e">
        <f t="shared" si="335"/>
        <v>#DIV/0!</v>
      </c>
      <c r="T417" s="269" t="e">
        <f t="shared" si="321"/>
        <v>#DIV/0!</v>
      </c>
      <c r="U417" s="234">
        <f t="shared" si="336"/>
        <v>0</v>
      </c>
      <c r="V417" s="232" t="e">
        <f t="shared" si="337"/>
        <v>#DIV/0!</v>
      </c>
      <c r="W417" s="269" t="e">
        <f t="shared" si="338"/>
        <v>#DIV/0!</v>
      </c>
      <c r="X417" s="235">
        <f t="shared" si="316"/>
        <v>0</v>
      </c>
      <c r="Y417" s="236">
        <f t="shared" si="339"/>
        <v>5</v>
      </c>
      <c r="Z417" s="236" t="e">
        <f t="shared" si="340"/>
        <v>#DIV/0!</v>
      </c>
      <c r="AA417" s="236">
        <f t="shared" si="341"/>
        <v>3</v>
      </c>
      <c r="AB417" s="236" t="e">
        <f t="shared" si="342"/>
        <v>#DIV/0!</v>
      </c>
      <c r="AC417" s="235">
        <f t="shared" si="343"/>
        <v>0</v>
      </c>
      <c r="AD417" s="235">
        <f t="shared" si="344"/>
        <v>0</v>
      </c>
      <c r="AE417" s="279">
        <f t="shared" si="345"/>
        <v>0</v>
      </c>
      <c r="AF417" s="232">
        <f t="shared" si="346"/>
        <v>0</v>
      </c>
      <c r="AG417" s="235">
        <f t="shared" si="347"/>
        <v>0</v>
      </c>
      <c r="AH417" s="269">
        <f t="shared" si="348"/>
        <v>0</v>
      </c>
      <c r="AI417" s="232">
        <f t="shared" si="349"/>
        <v>0</v>
      </c>
      <c r="AJ417" s="235">
        <f t="shared" si="350"/>
        <v>0</v>
      </c>
      <c r="AK417" s="269">
        <f t="shared" si="351"/>
        <v>0</v>
      </c>
      <c r="AL417" s="269">
        <f t="shared" si="317"/>
        <v>0</v>
      </c>
      <c r="AM417" s="281" t="e">
        <f>IF(B417&gt;=mpfo,pos*vvm*Dados!$E$122*(ntudv-SUM(U$301:$U418))-SUM($AM$13:AM416),0)</f>
        <v>#DIV/0!</v>
      </c>
      <c r="AN417" s="269" t="e">
        <f t="shared" si="352"/>
        <v>#DIV/0!</v>
      </c>
      <c r="AO417" s="232" t="e">
        <f t="shared" si="353"/>
        <v>#DIV/0!</v>
      </c>
      <c r="AP417" s="242" t="e">
        <f t="shared" si="354"/>
        <v>#DIV/0!</v>
      </c>
      <c r="AQ417" s="235" t="e">
        <f>IF(AP417+SUM($AQ$12:AQ416)&gt;=0,0,-AP417-SUM($AQ$12:AQ416))</f>
        <v>#DIV/0!</v>
      </c>
      <c r="AR417" s="235">
        <f>IF(SUM($N$13:N416)&gt;=pmo,IF(SUM(N416:$N$501)&gt;(1-pmo),B417,0),0)</f>
        <v>0</v>
      </c>
      <c r="AS417" s="235" t="e">
        <f>IF((SUM($U$13:$U416)/ntudv)&gt;=pmv,IF((SUM($U416:$U$501)/ntudv)&gt;(1-pmv),B417,0),0)</f>
        <v>#DIV/0!</v>
      </c>
      <c r="AT417" s="237" t="e">
        <f>IF(MAX(mmo,mmv)=mmo,IF(B417=AR417,(SUM(N$13:$N416)-pmo)/((1-VLOOKUP(MAX(mmo,mmv)-1,$B$13:$O$501,14))+(VLOOKUP(MAX(mmo,mmv)-1,$B$13:$O$501,14)-pmo)),N416/((1-VLOOKUP(MAX(mmo,mmv)-1,$B$13:$O$501,14)+(VLOOKUP(MAX(mmo,mmv)-1,$B$13:$O$501,14)-pmo)))),N416/(1-VLOOKUP(MAX(mmo,mmv)-2,$B$13:$O$501,14)))</f>
        <v>#DIV/0!</v>
      </c>
      <c r="AU417" s="101" t="e">
        <f t="shared" si="318"/>
        <v>#DIV/0!</v>
      </c>
      <c r="AV417" s="287" t="e">
        <f t="shared" si="319"/>
        <v>#DIV/0!</v>
      </c>
      <c r="AW417" s="235" t="e">
        <f t="shared" si="355"/>
        <v>#DIV/0!</v>
      </c>
      <c r="AX417" s="281">
        <f>IF(B417&gt;mpfo,0,IF(B417=mpfo,(vld-teo*(1+tcfo-incc)^(MAX(mmo,mmv)-mbfo))*-1,IF(SUM($N$13:N416)&gt;=pmo,IF(($V416/ntudv)&gt;=pmv,IF(B417=MAX(mmo,mmv),-teo*(1+tcfo-incc)^(B417-mbfo),0),0),0)))</f>
        <v>0</v>
      </c>
      <c r="AY417" s="292" t="e">
        <f t="shared" si="320"/>
        <v>#DIV/0!</v>
      </c>
      <c r="AZ417" s="235" t="e">
        <f t="shared" si="356"/>
        <v>#DIV/0!</v>
      </c>
      <c r="BA417" s="269" t="e">
        <f t="shared" si="357"/>
        <v>#DIV/0!</v>
      </c>
      <c r="BB417" s="292" t="e">
        <f t="shared" si="358"/>
        <v>#DIV/0!</v>
      </c>
      <c r="BC417" s="238" t="e">
        <f>IF(SUM($BC$13:BC416)&gt;0,0,IF(BB417&gt;0,B417,0))</f>
        <v>#DIV/0!</v>
      </c>
      <c r="BD417" s="292" t="e">
        <f>IF(BB417+SUM($BD$12:BD416)&gt;=0,0,-BB417-SUM($BD$12:BD416))</f>
        <v>#DIV/0!</v>
      </c>
      <c r="BE417" s="235" t="e">
        <f>BB417+SUM($BD$12:BD417)</f>
        <v>#DIV/0!</v>
      </c>
      <c r="BF417" s="292" t="e">
        <f>-MIN(BE417:$BE$501)-SUM(BF$12:$BF416)</f>
        <v>#DIV/0!</v>
      </c>
      <c r="BG417" s="235" t="e">
        <f t="shared" si="323"/>
        <v>#DIV/0!</v>
      </c>
    </row>
    <row r="418" spans="2:59">
      <c r="B418" s="246">
        <v>405</v>
      </c>
      <c r="C418" s="241">
        <f t="shared" si="322"/>
        <v>55005</v>
      </c>
      <c r="D418" s="229">
        <f t="shared" si="324"/>
        <v>8</v>
      </c>
      <c r="E418" s="230" t="str">
        <f t="shared" si="325"/>
        <v>-</v>
      </c>
      <c r="F418" s="231">
        <f t="shared" si="326"/>
        <v>0</v>
      </c>
      <c r="G418" s="231">
        <f t="shared" si="327"/>
        <v>0</v>
      </c>
      <c r="H418" s="231">
        <f t="shared" si="328"/>
        <v>0</v>
      </c>
      <c r="I418" s="268">
        <f t="shared" si="313"/>
        <v>0</v>
      </c>
      <c r="J418" s="269">
        <f t="shared" si="329"/>
        <v>0</v>
      </c>
      <c r="K418" s="269">
        <f t="shared" si="330"/>
        <v>0</v>
      </c>
      <c r="L418" s="269">
        <f t="shared" si="314"/>
        <v>0</v>
      </c>
      <c r="M418" s="269">
        <f t="shared" si="315"/>
        <v>0</v>
      </c>
      <c r="N418" s="233">
        <f>VLOOKUP(B418,Dados!$L$86:$P$90,5)</f>
        <v>0</v>
      </c>
      <c r="O418" s="270">
        <f t="shared" si="331"/>
        <v>0.99999999999999989</v>
      </c>
      <c r="P418" s="269">
        <f t="shared" si="332"/>
        <v>0</v>
      </c>
      <c r="Q418" s="269" t="e">
        <f t="shared" si="333"/>
        <v>#DIV/0!</v>
      </c>
      <c r="R418" s="269">
        <f t="shared" si="334"/>
        <v>0</v>
      </c>
      <c r="S418" s="269" t="e">
        <f t="shared" si="335"/>
        <v>#DIV/0!</v>
      </c>
      <c r="T418" s="269" t="e">
        <f t="shared" si="321"/>
        <v>#DIV/0!</v>
      </c>
      <c r="U418" s="234">
        <f t="shared" si="336"/>
        <v>0</v>
      </c>
      <c r="V418" s="232" t="e">
        <f t="shared" si="337"/>
        <v>#DIV/0!</v>
      </c>
      <c r="W418" s="269" t="e">
        <f t="shared" si="338"/>
        <v>#DIV/0!</v>
      </c>
      <c r="X418" s="235">
        <f t="shared" si="316"/>
        <v>0</v>
      </c>
      <c r="Y418" s="236">
        <f t="shared" si="339"/>
        <v>5</v>
      </c>
      <c r="Z418" s="236" t="e">
        <f t="shared" si="340"/>
        <v>#DIV/0!</v>
      </c>
      <c r="AA418" s="236">
        <f t="shared" si="341"/>
        <v>3</v>
      </c>
      <c r="AB418" s="236" t="e">
        <f t="shared" si="342"/>
        <v>#DIV/0!</v>
      </c>
      <c r="AC418" s="235">
        <f t="shared" si="343"/>
        <v>0</v>
      </c>
      <c r="AD418" s="235">
        <f t="shared" si="344"/>
        <v>0</v>
      </c>
      <c r="AE418" s="279">
        <f t="shared" si="345"/>
        <v>0</v>
      </c>
      <c r="AF418" s="232">
        <f t="shared" si="346"/>
        <v>0</v>
      </c>
      <c r="AG418" s="235">
        <f t="shared" si="347"/>
        <v>0</v>
      </c>
      <c r="AH418" s="269">
        <f t="shared" si="348"/>
        <v>0</v>
      </c>
      <c r="AI418" s="232">
        <f t="shared" si="349"/>
        <v>0</v>
      </c>
      <c r="AJ418" s="235">
        <f t="shared" si="350"/>
        <v>0</v>
      </c>
      <c r="AK418" s="269">
        <f t="shared" si="351"/>
        <v>0</v>
      </c>
      <c r="AL418" s="269">
        <f t="shared" si="317"/>
        <v>0</v>
      </c>
      <c r="AM418" s="281" t="e">
        <f>IF(B418&gt;=mpfo,pos*vvm*Dados!$E$122*(ntudv-SUM(U$301:$U419))-SUM($AM$13:AM417),0)</f>
        <v>#DIV/0!</v>
      </c>
      <c r="AN418" s="269" t="e">
        <f t="shared" si="352"/>
        <v>#DIV/0!</v>
      </c>
      <c r="AO418" s="232" t="e">
        <f t="shared" si="353"/>
        <v>#DIV/0!</v>
      </c>
      <c r="AP418" s="242" t="e">
        <f t="shared" si="354"/>
        <v>#DIV/0!</v>
      </c>
      <c r="AQ418" s="235" t="e">
        <f>IF(AP418+SUM($AQ$12:AQ417)&gt;=0,0,-AP418-SUM($AQ$12:AQ417))</f>
        <v>#DIV/0!</v>
      </c>
      <c r="AR418" s="235">
        <f>IF(SUM($N$13:N417)&gt;=pmo,IF(SUM(N417:$N$501)&gt;(1-pmo),B418,0),0)</f>
        <v>0</v>
      </c>
      <c r="AS418" s="235" t="e">
        <f>IF((SUM($U$13:$U417)/ntudv)&gt;=pmv,IF((SUM($U417:$U$501)/ntudv)&gt;(1-pmv),B418,0),0)</f>
        <v>#DIV/0!</v>
      </c>
      <c r="AT418" s="237" t="e">
        <f>IF(MAX(mmo,mmv)=mmo,IF(B418=AR418,(SUM(N$13:$N417)-pmo)/((1-VLOOKUP(MAX(mmo,mmv)-1,$B$13:$O$501,14))+(VLOOKUP(MAX(mmo,mmv)-1,$B$13:$O$501,14)-pmo)),N417/((1-VLOOKUP(MAX(mmo,mmv)-1,$B$13:$O$501,14)+(VLOOKUP(MAX(mmo,mmv)-1,$B$13:$O$501,14)-pmo)))),N417/(1-VLOOKUP(MAX(mmo,mmv)-2,$B$13:$O$501,14)))</f>
        <v>#DIV/0!</v>
      </c>
      <c r="AU418" s="101" t="e">
        <f t="shared" si="318"/>
        <v>#DIV/0!</v>
      </c>
      <c r="AV418" s="287" t="e">
        <f t="shared" si="319"/>
        <v>#DIV/0!</v>
      </c>
      <c r="AW418" s="235" t="e">
        <f t="shared" si="355"/>
        <v>#DIV/0!</v>
      </c>
      <c r="AX418" s="281">
        <f>IF(B418&gt;mpfo,0,IF(B418=mpfo,(vld-teo*(1+tcfo-incc)^(MAX(mmo,mmv)-mbfo))*-1,IF(SUM($N$13:N417)&gt;=pmo,IF(($V417/ntudv)&gt;=pmv,IF(B418=MAX(mmo,mmv),-teo*(1+tcfo-incc)^(B418-mbfo),0),0),0)))</f>
        <v>0</v>
      </c>
      <c r="AY418" s="292" t="e">
        <f t="shared" si="320"/>
        <v>#DIV/0!</v>
      </c>
      <c r="AZ418" s="235" t="e">
        <f t="shared" si="356"/>
        <v>#DIV/0!</v>
      </c>
      <c r="BA418" s="269" t="e">
        <f t="shared" si="357"/>
        <v>#DIV/0!</v>
      </c>
      <c r="BB418" s="292" t="e">
        <f t="shared" si="358"/>
        <v>#DIV/0!</v>
      </c>
      <c r="BC418" s="238" t="e">
        <f>IF(SUM($BC$13:BC417)&gt;0,0,IF(BB418&gt;0,B418,0))</f>
        <v>#DIV/0!</v>
      </c>
      <c r="BD418" s="292" t="e">
        <f>IF(BB418+SUM($BD$12:BD417)&gt;=0,0,-BB418-SUM($BD$12:BD417))</f>
        <v>#DIV/0!</v>
      </c>
      <c r="BE418" s="235" t="e">
        <f>BB418+SUM($BD$12:BD418)</f>
        <v>#DIV/0!</v>
      </c>
      <c r="BF418" s="292" t="e">
        <f>-MIN(BE418:$BE$501)-SUM(BF$12:$BF417)</f>
        <v>#DIV/0!</v>
      </c>
      <c r="BG418" s="235" t="e">
        <f t="shared" si="323"/>
        <v>#DIV/0!</v>
      </c>
    </row>
    <row r="419" spans="2:59">
      <c r="B419" s="120">
        <v>406</v>
      </c>
      <c r="C419" s="241">
        <f t="shared" si="322"/>
        <v>55036</v>
      </c>
      <c r="D419" s="229">
        <f t="shared" si="324"/>
        <v>9</v>
      </c>
      <c r="E419" s="230" t="str">
        <f t="shared" si="325"/>
        <v>-</v>
      </c>
      <c r="F419" s="231">
        <f t="shared" si="326"/>
        <v>0</v>
      </c>
      <c r="G419" s="231">
        <f t="shared" si="327"/>
        <v>0</v>
      </c>
      <c r="H419" s="231">
        <f t="shared" si="328"/>
        <v>0</v>
      </c>
      <c r="I419" s="268">
        <f t="shared" si="313"/>
        <v>0</v>
      </c>
      <c r="J419" s="269">
        <f t="shared" si="329"/>
        <v>0</v>
      </c>
      <c r="K419" s="269">
        <f t="shared" si="330"/>
        <v>0</v>
      </c>
      <c r="L419" s="269">
        <f t="shared" si="314"/>
        <v>0</v>
      </c>
      <c r="M419" s="269">
        <f t="shared" si="315"/>
        <v>0</v>
      </c>
      <c r="N419" s="233">
        <f>VLOOKUP(B419,Dados!$L$86:$P$90,5)</f>
        <v>0</v>
      </c>
      <c r="O419" s="270">
        <f t="shared" si="331"/>
        <v>0.99999999999999989</v>
      </c>
      <c r="P419" s="269">
        <f t="shared" si="332"/>
        <v>0</v>
      </c>
      <c r="Q419" s="269" t="e">
        <f t="shared" si="333"/>
        <v>#DIV/0!</v>
      </c>
      <c r="R419" s="269">
        <f t="shared" si="334"/>
        <v>0</v>
      </c>
      <c r="S419" s="269" t="e">
        <f t="shared" si="335"/>
        <v>#DIV/0!</v>
      </c>
      <c r="T419" s="269" t="e">
        <f t="shared" si="321"/>
        <v>#DIV/0!</v>
      </c>
      <c r="U419" s="234">
        <f t="shared" si="336"/>
        <v>0</v>
      </c>
      <c r="V419" s="232" t="e">
        <f t="shared" si="337"/>
        <v>#DIV/0!</v>
      </c>
      <c r="W419" s="269" t="e">
        <f t="shared" si="338"/>
        <v>#DIV/0!</v>
      </c>
      <c r="X419" s="235">
        <f t="shared" si="316"/>
        <v>0</v>
      </c>
      <c r="Y419" s="236">
        <f t="shared" si="339"/>
        <v>5</v>
      </c>
      <c r="Z419" s="236" t="e">
        <f t="shared" si="340"/>
        <v>#DIV/0!</v>
      </c>
      <c r="AA419" s="236">
        <f t="shared" si="341"/>
        <v>3</v>
      </c>
      <c r="AB419" s="236" t="e">
        <f t="shared" si="342"/>
        <v>#DIV/0!</v>
      </c>
      <c r="AC419" s="235">
        <f t="shared" si="343"/>
        <v>0</v>
      </c>
      <c r="AD419" s="235">
        <f t="shared" si="344"/>
        <v>0</v>
      </c>
      <c r="AE419" s="279">
        <f t="shared" si="345"/>
        <v>0</v>
      </c>
      <c r="AF419" s="232">
        <f t="shared" si="346"/>
        <v>0</v>
      </c>
      <c r="AG419" s="235">
        <f t="shared" si="347"/>
        <v>0</v>
      </c>
      <c r="AH419" s="269">
        <f t="shared" si="348"/>
        <v>0</v>
      </c>
      <c r="AI419" s="232">
        <f t="shared" si="349"/>
        <v>0</v>
      </c>
      <c r="AJ419" s="235">
        <f t="shared" si="350"/>
        <v>0</v>
      </c>
      <c r="AK419" s="269">
        <f t="shared" si="351"/>
        <v>0</v>
      </c>
      <c r="AL419" s="269">
        <f t="shared" si="317"/>
        <v>0</v>
      </c>
      <c r="AM419" s="281" t="e">
        <f>IF(B419&gt;=mpfo,pos*vvm*Dados!$E$122*(ntudv-SUM(U$301:$U420))-SUM($AM$13:AM418),0)</f>
        <v>#DIV/0!</v>
      </c>
      <c r="AN419" s="269" t="e">
        <f t="shared" si="352"/>
        <v>#DIV/0!</v>
      </c>
      <c r="AO419" s="232" t="e">
        <f t="shared" si="353"/>
        <v>#DIV/0!</v>
      </c>
      <c r="AP419" s="242" t="e">
        <f t="shared" si="354"/>
        <v>#DIV/0!</v>
      </c>
      <c r="AQ419" s="235" t="e">
        <f>IF(AP419+SUM($AQ$12:AQ418)&gt;=0,0,-AP419-SUM($AQ$12:AQ418))</f>
        <v>#DIV/0!</v>
      </c>
      <c r="AR419" s="235">
        <f>IF(SUM($N$13:N418)&gt;=pmo,IF(SUM(N418:$N$501)&gt;(1-pmo),B419,0),0)</f>
        <v>0</v>
      </c>
      <c r="AS419" s="235" t="e">
        <f>IF((SUM($U$13:$U418)/ntudv)&gt;=pmv,IF((SUM($U418:$U$501)/ntudv)&gt;(1-pmv),B419,0),0)</f>
        <v>#DIV/0!</v>
      </c>
      <c r="AT419" s="237" t="e">
        <f>IF(MAX(mmo,mmv)=mmo,IF(B419=AR419,(SUM(N$13:$N418)-pmo)/((1-VLOOKUP(MAX(mmo,mmv)-1,$B$13:$O$501,14))+(VLOOKUP(MAX(mmo,mmv)-1,$B$13:$O$501,14)-pmo)),N418/((1-VLOOKUP(MAX(mmo,mmv)-1,$B$13:$O$501,14)+(VLOOKUP(MAX(mmo,mmv)-1,$B$13:$O$501,14)-pmo)))),N418/(1-VLOOKUP(MAX(mmo,mmv)-2,$B$13:$O$501,14)))</f>
        <v>#DIV/0!</v>
      </c>
      <c r="AU419" s="101" t="e">
        <f t="shared" si="318"/>
        <v>#DIV/0!</v>
      </c>
      <c r="AV419" s="287" t="e">
        <f t="shared" si="319"/>
        <v>#DIV/0!</v>
      </c>
      <c r="AW419" s="235" t="e">
        <f t="shared" si="355"/>
        <v>#DIV/0!</v>
      </c>
      <c r="AX419" s="281">
        <f>IF(B419&gt;mpfo,0,IF(B419=mpfo,(vld-teo*(1+tcfo-incc)^(MAX(mmo,mmv)-mbfo))*-1,IF(SUM($N$13:N418)&gt;=pmo,IF(($V418/ntudv)&gt;=pmv,IF(B419=MAX(mmo,mmv),-teo*(1+tcfo-incc)^(B419-mbfo),0),0),0)))</f>
        <v>0</v>
      </c>
      <c r="AY419" s="292" t="e">
        <f t="shared" si="320"/>
        <v>#DIV/0!</v>
      </c>
      <c r="AZ419" s="235" t="e">
        <f t="shared" si="356"/>
        <v>#DIV/0!</v>
      </c>
      <c r="BA419" s="269" t="e">
        <f t="shared" si="357"/>
        <v>#DIV/0!</v>
      </c>
      <c r="BB419" s="292" t="e">
        <f t="shared" si="358"/>
        <v>#DIV/0!</v>
      </c>
      <c r="BC419" s="238" t="e">
        <f>IF(SUM($BC$13:BC418)&gt;0,0,IF(BB419&gt;0,B419,0))</f>
        <v>#DIV/0!</v>
      </c>
      <c r="BD419" s="292" t="e">
        <f>IF(BB419+SUM($BD$12:BD418)&gt;=0,0,-BB419-SUM($BD$12:BD418))</f>
        <v>#DIV/0!</v>
      </c>
      <c r="BE419" s="235" t="e">
        <f>BB419+SUM($BD$12:BD419)</f>
        <v>#DIV/0!</v>
      </c>
      <c r="BF419" s="292" t="e">
        <f>-MIN(BE419:$BE$501)-SUM(BF$12:$BF418)</f>
        <v>#DIV/0!</v>
      </c>
      <c r="BG419" s="235" t="e">
        <f t="shared" si="323"/>
        <v>#DIV/0!</v>
      </c>
    </row>
    <row r="420" spans="2:59">
      <c r="B420" s="246">
        <v>407</v>
      </c>
      <c r="C420" s="241">
        <f t="shared" si="322"/>
        <v>55066</v>
      </c>
      <c r="D420" s="229">
        <f t="shared" si="324"/>
        <v>10</v>
      </c>
      <c r="E420" s="230" t="str">
        <f t="shared" si="325"/>
        <v>-</v>
      </c>
      <c r="F420" s="231">
        <f t="shared" si="326"/>
        <v>0</v>
      </c>
      <c r="G420" s="231">
        <f t="shared" si="327"/>
        <v>0</v>
      </c>
      <c r="H420" s="231">
        <f t="shared" si="328"/>
        <v>0</v>
      </c>
      <c r="I420" s="268">
        <f t="shared" si="313"/>
        <v>0</v>
      </c>
      <c r="J420" s="269">
        <f t="shared" si="329"/>
        <v>0</v>
      </c>
      <c r="K420" s="269">
        <f t="shared" si="330"/>
        <v>0</v>
      </c>
      <c r="L420" s="269">
        <f t="shared" si="314"/>
        <v>0</v>
      </c>
      <c r="M420" s="269">
        <f t="shared" si="315"/>
        <v>0</v>
      </c>
      <c r="N420" s="233">
        <f>VLOOKUP(B420,Dados!$L$86:$P$90,5)</f>
        <v>0</v>
      </c>
      <c r="O420" s="270">
        <f t="shared" si="331"/>
        <v>0.99999999999999989</v>
      </c>
      <c r="P420" s="269">
        <f t="shared" si="332"/>
        <v>0</v>
      </c>
      <c r="Q420" s="269" t="e">
        <f t="shared" si="333"/>
        <v>#DIV/0!</v>
      </c>
      <c r="R420" s="269">
        <f t="shared" si="334"/>
        <v>0</v>
      </c>
      <c r="S420" s="269" t="e">
        <f t="shared" si="335"/>
        <v>#DIV/0!</v>
      </c>
      <c r="T420" s="269" t="e">
        <f t="shared" si="321"/>
        <v>#DIV/0!</v>
      </c>
      <c r="U420" s="234">
        <f t="shared" si="336"/>
        <v>0</v>
      </c>
      <c r="V420" s="232" t="e">
        <f t="shared" si="337"/>
        <v>#DIV/0!</v>
      </c>
      <c r="W420" s="269" t="e">
        <f t="shared" si="338"/>
        <v>#DIV/0!</v>
      </c>
      <c r="X420" s="235">
        <f t="shared" si="316"/>
        <v>0</v>
      </c>
      <c r="Y420" s="236">
        <f t="shared" si="339"/>
        <v>5</v>
      </c>
      <c r="Z420" s="236" t="e">
        <f t="shared" si="340"/>
        <v>#DIV/0!</v>
      </c>
      <c r="AA420" s="236">
        <f t="shared" si="341"/>
        <v>3</v>
      </c>
      <c r="AB420" s="236" t="e">
        <f t="shared" si="342"/>
        <v>#DIV/0!</v>
      </c>
      <c r="AC420" s="235">
        <f t="shared" si="343"/>
        <v>0</v>
      </c>
      <c r="AD420" s="235">
        <f t="shared" si="344"/>
        <v>0</v>
      </c>
      <c r="AE420" s="279">
        <f t="shared" si="345"/>
        <v>0</v>
      </c>
      <c r="AF420" s="232">
        <f t="shared" si="346"/>
        <v>0</v>
      </c>
      <c r="AG420" s="235">
        <f t="shared" si="347"/>
        <v>0</v>
      </c>
      <c r="AH420" s="269">
        <f t="shared" si="348"/>
        <v>0</v>
      </c>
      <c r="AI420" s="232">
        <f t="shared" si="349"/>
        <v>0</v>
      </c>
      <c r="AJ420" s="235">
        <f t="shared" si="350"/>
        <v>0</v>
      </c>
      <c r="AK420" s="269">
        <f t="shared" si="351"/>
        <v>0</v>
      </c>
      <c r="AL420" s="269">
        <f t="shared" si="317"/>
        <v>0</v>
      </c>
      <c r="AM420" s="281" t="e">
        <f>IF(B420&gt;=mpfo,pos*vvm*Dados!$E$122*(ntudv-SUM(U$301:$U421))-SUM($AM$13:AM419),0)</f>
        <v>#DIV/0!</v>
      </c>
      <c r="AN420" s="269" t="e">
        <f t="shared" si="352"/>
        <v>#DIV/0!</v>
      </c>
      <c r="AO420" s="232" t="e">
        <f t="shared" si="353"/>
        <v>#DIV/0!</v>
      </c>
      <c r="AP420" s="242" t="e">
        <f t="shared" si="354"/>
        <v>#DIV/0!</v>
      </c>
      <c r="AQ420" s="235" t="e">
        <f>IF(AP420+SUM($AQ$12:AQ419)&gt;=0,0,-AP420-SUM($AQ$12:AQ419))</f>
        <v>#DIV/0!</v>
      </c>
      <c r="AR420" s="235">
        <f>IF(SUM($N$13:N419)&gt;=pmo,IF(SUM(N419:$N$501)&gt;(1-pmo),B420,0),0)</f>
        <v>0</v>
      </c>
      <c r="AS420" s="235" t="e">
        <f>IF((SUM($U$13:$U419)/ntudv)&gt;=pmv,IF((SUM($U419:$U$501)/ntudv)&gt;(1-pmv),B420,0),0)</f>
        <v>#DIV/0!</v>
      </c>
      <c r="AT420" s="237" t="e">
        <f>IF(MAX(mmo,mmv)=mmo,IF(B420=AR420,(SUM(N$13:$N419)-pmo)/((1-VLOOKUP(MAX(mmo,mmv)-1,$B$13:$O$501,14))+(VLOOKUP(MAX(mmo,mmv)-1,$B$13:$O$501,14)-pmo)),N419/((1-VLOOKUP(MAX(mmo,mmv)-1,$B$13:$O$501,14)+(VLOOKUP(MAX(mmo,mmv)-1,$B$13:$O$501,14)-pmo)))),N419/(1-VLOOKUP(MAX(mmo,mmv)-2,$B$13:$O$501,14)))</f>
        <v>#DIV/0!</v>
      </c>
      <c r="AU420" s="101" t="e">
        <f t="shared" si="318"/>
        <v>#DIV/0!</v>
      </c>
      <c r="AV420" s="287" t="e">
        <f t="shared" si="319"/>
        <v>#DIV/0!</v>
      </c>
      <c r="AW420" s="235" t="e">
        <f t="shared" si="355"/>
        <v>#DIV/0!</v>
      </c>
      <c r="AX420" s="281">
        <f>IF(B420&gt;mpfo,0,IF(B420=mpfo,(vld-teo*(1+tcfo-incc)^(MAX(mmo,mmv)-mbfo))*-1,IF(SUM($N$13:N419)&gt;=pmo,IF(($V419/ntudv)&gt;=pmv,IF(B420=MAX(mmo,mmv),-teo*(1+tcfo-incc)^(B420-mbfo),0),0),0)))</f>
        <v>0</v>
      </c>
      <c r="AY420" s="292" t="e">
        <f t="shared" si="320"/>
        <v>#DIV/0!</v>
      </c>
      <c r="AZ420" s="235" t="e">
        <f t="shared" si="356"/>
        <v>#DIV/0!</v>
      </c>
      <c r="BA420" s="269" t="e">
        <f t="shared" si="357"/>
        <v>#DIV/0!</v>
      </c>
      <c r="BB420" s="292" t="e">
        <f t="shared" si="358"/>
        <v>#DIV/0!</v>
      </c>
      <c r="BC420" s="238" t="e">
        <f>IF(SUM($BC$13:BC419)&gt;0,0,IF(BB420&gt;0,B420,0))</f>
        <v>#DIV/0!</v>
      </c>
      <c r="BD420" s="292" t="e">
        <f>IF(BB420+SUM($BD$12:BD419)&gt;=0,0,-BB420-SUM($BD$12:BD419))</f>
        <v>#DIV/0!</v>
      </c>
      <c r="BE420" s="235" t="e">
        <f>BB420+SUM($BD$12:BD420)</f>
        <v>#DIV/0!</v>
      </c>
      <c r="BF420" s="292" t="e">
        <f>-MIN(BE420:$BE$501)-SUM(BF$12:$BF419)</f>
        <v>#DIV/0!</v>
      </c>
      <c r="BG420" s="235" t="e">
        <f t="shared" si="323"/>
        <v>#DIV/0!</v>
      </c>
    </row>
    <row r="421" spans="2:59">
      <c r="B421" s="120">
        <v>408</v>
      </c>
      <c r="C421" s="241">
        <f t="shared" si="322"/>
        <v>55097</v>
      </c>
      <c r="D421" s="229">
        <f t="shared" si="324"/>
        <v>11</v>
      </c>
      <c r="E421" s="230" t="str">
        <f t="shared" si="325"/>
        <v>-</v>
      </c>
      <c r="F421" s="231">
        <f t="shared" si="326"/>
        <v>0</v>
      </c>
      <c r="G421" s="231">
        <f t="shared" si="327"/>
        <v>0</v>
      </c>
      <c r="H421" s="231">
        <f t="shared" si="328"/>
        <v>0</v>
      </c>
      <c r="I421" s="268">
        <f t="shared" si="313"/>
        <v>0</v>
      </c>
      <c r="J421" s="269">
        <f t="shared" si="329"/>
        <v>0</v>
      </c>
      <c r="K421" s="269">
        <f t="shared" si="330"/>
        <v>0</v>
      </c>
      <c r="L421" s="269">
        <f t="shared" si="314"/>
        <v>0</v>
      </c>
      <c r="M421" s="269">
        <f t="shared" si="315"/>
        <v>0</v>
      </c>
      <c r="N421" s="233">
        <f>VLOOKUP(B421,Dados!$L$86:$P$90,5)</f>
        <v>0</v>
      </c>
      <c r="O421" s="270">
        <f t="shared" si="331"/>
        <v>0.99999999999999989</v>
      </c>
      <c r="P421" s="269">
        <f t="shared" si="332"/>
        <v>0</v>
      </c>
      <c r="Q421" s="269" t="e">
        <f t="shared" si="333"/>
        <v>#DIV/0!</v>
      </c>
      <c r="R421" s="269">
        <f t="shared" si="334"/>
        <v>0</v>
      </c>
      <c r="S421" s="269" t="e">
        <f t="shared" si="335"/>
        <v>#DIV/0!</v>
      </c>
      <c r="T421" s="269" t="e">
        <f t="shared" si="321"/>
        <v>#DIV/0!</v>
      </c>
      <c r="U421" s="234">
        <f t="shared" si="336"/>
        <v>0</v>
      </c>
      <c r="V421" s="232" t="e">
        <f t="shared" si="337"/>
        <v>#DIV/0!</v>
      </c>
      <c r="W421" s="269" t="e">
        <f t="shared" si="338"/>
        <v>#DIV/0!</v>
      </c>
      <c r="X421" s="235">
        <f t="shared" si="316"/>
        <v>0</v>
      </c>
      <c r="Y421" s="236">
        <f t="shared" si="339"/>
        <v>5</v>
      </c>
      <c r="Z421" s="236" t="e">
        <f t="shared" si="340"/>
        <v>#DIV/0!</v>
      </c>
      <c r="AA421" s="236">
        <f t="shared" si="341"/>
        <v>3</v>
      </c>
      <c r="AB421" s="236" t="e">
        <f t="shared" si="342"/>
        <v>#DIV/0!</v>
      </c>
      <c r="AC421" s="235">
        <f t="shared" si="343"/>
        <v>0</v>
      </c>
      <c r="AD421" s="235">
        <f t="shared" si="344"/>
        <v>0</v>
      </c>
      <c r="AE421" s="279">
        <f t="shared" si="345"/>
        <v>0</v>
      </c>
      <c r="AF421" s="232">
        <f t="shared" si="346"/>
        <v>0</v>
      </c>
      <c r="AG421" s="235">
        <f t="shared" si="347"/>
        <v>0</v>
      </c>
      <c r="AH421" s="269">
        <f t="shared" si="348"/>
        <v>0</v>
      </c>
      <c r="AI421" s="232">
        <f t="shared" si="349"/>
        <v>0</v>
      </c>
      <c r="AJ421" s="235">
        <f t="shared" si="350"/>
        <v>0</v>
      </c>
      <c r="AK421" s="269">
        <f t="shared" si="351"/>
        <v>0</v>
      </c>
      <c r="AL421" s="269">
        <f t="shared" si="317"/>
        <v>0</v>
      </c>
      <c r="AM421" s="281" t="e">
        <f>IF(B421&gt;=mpfo,pos*vvm*Dados!$E$122*(ntudv-SUM(U$301:$U422))-SUM($AM$13:AM420),0)</f>
        <v>#DIV/0!</v>
      </c>
      <c r="AN421" s="269" t="e">
        <f t="shared" si="352"/>
        <v>#DIV/0!</v>
      </c>
      <c r="AO421" s="232" t="e">
        <f t="shared" si="353"/>
        <v>#DIV/0!</v>
      </c>
      <c r="AP421" s="242" t="e">
        <f t="shared" si="354"/>
        <v>#DIV/0!</v>
      </c>
      <c r="AQ421" s="235" t="e">
        <f>IF(AP421+SUM($AQ$12:AQ420)&gt;=0,0,-AP421-SUM($AQ$12:AQ420))</f>
        <v>#DIV/0!</v>
      </c>
      <c r="AR421" s="235">
        <f>IF(SUM($N$13:N420)&gt;=pmo,IF(SUM(N420:$N$501)&gt;(1-pmo),B421,0),0)</f>
        <v>0</v>
      </c>
      <c r="AS421" s="235" t="e">
        <f>IF((SUM($U$13:$U420)/ntudv)&gt;=pmv,IF((SUM($U420:$U$501)/ntudv)&gt;(1-pmv),B421,0),0)</f>
        <v>#DIV/0!</v>
      </c>
      <c r="AT421" s="237" t="e">
        <f>IF(MAX(mmo,mmv)=mmo,IF(B421=AR421,(SUM(N$13:$N420)-pmo)/((1-VLOOKUP(MAX(mmo,mmv)-1,$B$13:$O$501,14))+(VLOOKUP(MAX(mmo,mmv)-1,$B$13:$O$501,14)-pmo)),N420/((1-VLOOKUP(MAX(mmo,mmv)-1,$B$13:$O$501,14)+(VLOOKUP(MAX(mmo,mmv)-1,$B$13:$O$501,14)-pmo)))),N420/(1-VLOOKUP(MAX(mmo,mmv)-2,$B$13:$O$501,14)))</f>
        <v>#DIV/0!</v>
      </c>
      <c r="AU421" s="101" t="e">
        <f t="shared" si="318"/>
        <v>#DIV/0!</v>
      </c>
      <c r="AV421" s="287" t="e">
        <f t="shared" si="319"/>
        <v>#DIV/0!</v>
      </c>
      <c r="AW421" s="235" t="e">
        <f t="shared" si="355"/>
        <v>#DIV/0!</v>
      </c>
      <c r="AX421" s="281">
        <f>IF(B421&gt;mpfo,0,IF(B421=mpfo,(vld-teo*(1+tcfo-incc)^(MAX(mmo,mmv)-mbfo))*-1,IF(SUM($N$13:N420)&gt;=pmo,IF(($V420/ntudv)&gt;=pmv,IF(B421=MAX(mmo,mmv),-teo*(1+tcfo-incc)^(B421-mbfo),0),0),0)))</f>
        <v>0</v>
      </c>
      <c r="AY421" s="292" t="e">
        <f t="shared" si="320"/>
        <v>#DIV/0!</v>
      </c>
      <c r="AZ421" s="235" t="e">
        <f t="shared" si="356"/>
        <v>#DIV/0!</v>
      </c>
      <c r="BA421" s="269" t="e">
        <f t="shared" si="357"/>
        <v>#DIV/0!</v>
      </c>
      <c r="BB421" s="292" t="e">
        <f t="shared" si="358"/>
        <v>#DIV/0!</v>
      </c>
      <c r="BC421" s="238" t="e">
        <f>IF(SUM($BC$13:BC420)&gt;0,0,IF(BB421&gt;0,B421,0))</f>
        <v>#DIV/0!</v>
      </c>
      <c r="BD421" s="292" t="e">
        <f>IF(BB421+SUM($BD$12:BD420)&gt;=0,0,-BB421-SUM($BD$12:BD420))</f>
        <v>#DIV/0!</v>
      </c>
      <c r="BE421" s="235" t="e">
        <f>BB421+SUM($BD$12:BD421)</f>
        <v>#DIV/0!</v>
      </c>
      <c r="BF421" s="292" t="e">
        <f>-MIN(BE421:$BE$501)-SUM(BF$12:$BF420)</f>
        <v>#DIV/0!</v>
      </c>
      <c r="BG421" s="235" t="e">
        <f t="shared" si="323"/>
        <v>#DIV/0!</v>
      </c>
    </row>
    <row r="422" spans="2:59">
      <c r="B422" s="246">
        <v>409</v>
      </c>
      <c r="C422" s="241">
        <f t="shared" si="322"/>
        <v>55127</v>
      </c>
      <c r="D422" s="229">
        <f t="shared" si="324"/>
        <v>12</v>
      </c>
      <c r="E422" s="230" t="str">
        <f t="shared" si="325"/>
        <v>-</v>
      </c>
      <c r="F422" s="231">
        <f t="shared" si="326"/>
        <v>0</v>
      </c>
      <c r="G422" s="231">
        <f t="shared" si="327"/>
        <v>0</v>
      </c>
      <c r="H422" s="231">
        <f t="shared" si="328"/>
        <v>0</v>
      </c>
      <c r="I422" s="268">
        <f t="shared" si="313"/>
        <v>0</v>
      </c>
      <c r="J422" s="269">
        <f t="shared" si="329"/>
        <v>0</v>
      </c>
      <c r="K422" s="269">
        <f t="shared" si="330"/>
        <v>0</v>
      </c>
      <c r="L422" s="269">
        <f t="shared" si="314"/>
        <v>0</v>
      </c>
      <c r="M422" s="269">
        <f t="shared" si="315"/>
        <v>0</v>
      </c>
      <c r="N422" s="233">
        <f>VLOOKUP(B422,Dados!$L$86:$P$90,5)</f>
        <v>0</v>
      </c>
      <c r="O422" s="270">
        <f t="shared" si="331"/>
        <v>0.99999999999999989</v>
      </c>
      <c r="P422" s="269">
        <f t="shared" si="332"/>
        <v>0</v>
      </c>
      <c r="Q422" s="269" t="e">
        <f t="shared" si="333"/>
        <v>#DIV/0!</v>
      </c>
      <c r="R422" s="269">
        <f t="shared" si="334"/>
        <v>0</v>
      </c>
      <c r="S422" s="269" t="e">
        <f t="shared" si="335"/>
        <v>#DIV/0!</v>
      </c>
      <c r="T422" s="269" t="e">
        <f t="shared" si="321"/>
        <v>#DIV/0!</v>
      </c>
      <c r="U422" s="234">
        <f t="shared" si="336"/>
        <v>0</v>
      </c>
      <c r="V422" s="232" t="e">
        <f t="shared" si="337"/>
        <v>#DIV/0!</v>
      </c>
      <c r="W422" s="269" t="e">
        <f t="shared" si="338"/>
        <v>#DIV/0!</v>
      </c>
      <c r="X422" s="235">
        <f t="shared" si="316"/>
        <v>0</v>
      </c>
      <c r="Y422" s="236">
        <f t="shared" si="339"/>
        <v>5</v>
      </c>
      <c r="Z422" s="236" t="e">
        <f t="shared" si="340"/>
        <v>#DIV/0!</v>
      </c>
      <c r="AA422" s="236">
        <f t="shared" si="341"/>
        <v>3</v>
      </c>
      <c r="AB422" s="236" t="e">
        <f t="shared" si="342"/>
        <v>#DIV/0!</v>
      </c>
      <c r="AC422" s="235">
        <f t="shared" si="343"/>
        <v>0</v>
      </c>
      <c r="AD422" s="235">
        <f t="shared" si="344"/>
        <v>0</v>
      </c>
      <c r="AE422" s="279">
        <f t="shared" si="345"/>
        <v>0</v>
      </c>
      <c r="AF422" s="232">
        <f t="shared" si="346"/>
        <v>1</v>
      </c>
      <c r="AG422" s="235">
        <f t="shared" si="347"/>
        <v>0</v>
      </c>
      <c r="AH422" s="269">
        <f t="shared" si="348"/>
        <v>0</v>
      </c>
      <c r="AI422" s="232">
        <f t="shared" si="349"/>
        <v>1</v>
      </c>
      <c r="AJ422" s="235">
        <f t="shared" si="350"/>
        <v>0</v>
      </c>
      <c r="AK422" s="269">
        <f t="shared" si="351"/>
        <v>0</v>
      </c>
      <c r="AL422" s="269">
        <f t="shared" si="317"/>
        <v>0</v>
      </c>
      <c r="AM422" s="281" t="e">
        <f>IF(B422&gt;=mpfo,pos*vvm*Dados!$E$122*(ntudv-SUM(U$301:$U423))-SUM($AM$13:AM421),0)</f>
        <v>#DIV/0!</v>
      </c>
      <c r="AN422" s="269" t="e">
        <f t="shared" si="352"/>
        <v>#DIV/0!</v>
      </c>
      <c r="AO422" s="232" t="e">
        <f t="shared" si="353"/>
        <v>#DIV/0!</v>
      </c>
      <c r="AP422" s="242" t="e">
        <f t="shared" si="354"/>
        <v>#DIV/0!</v>
      </c>
      <c r="AQ422" s="235" t="e">
        <f>IF(AP422+SUM($AQ$12:AQ421)&gt;=0,0,-AP422-SUM($AQ$12:AQ421))</f>
        <v>#DIV/0!</v>
      </c>
      <c r="AR422" s="235">
        <f>IF(SUM($N$13:N421)&gt;=pmo,IF(SUM(N421:$N$501)&gt;(1-pmo),B422,0),0)</f>
        <v>0</v>
      </c>
      <c r="AS422" s="235" t="e">
        <f>IF((SUM($U$13:$U421)/ntudv)&gt;=pmv,IF((SUM($U421:$U$501)/ntudv)&gt;(1-pmv),B422,0),0)</f>
        <v>#DIV/0!</v>
      </c>
      <c r="AT422" s="237" t="e">
        <f>IF(MAX(mmo,mmv)=mmo,IF(B422=AR422,(SUM(N$13:$N421)-pmo)/((1-VLOOKUP(MAX(mmo,mmv)-1,$B$13:$O$501,14))+(VLOOKUP(MAX(mmo,mmv)-1,$B$13:$O$501,14)-pmo)),N421/((1-VLOOKUP(MAX(mmo,mmv)-1,$B$13:$O$501,14)+(VLOOKUP(MAX(mmo,mmv)-1,$B$13:$O$501,14)-pmo)))),N421/(1-VLOOKUP(MAX(mmo,mmv)-2,$B$13:$O$501,14)))</f>
        <v>#DIV/0!</v>
      </c>
      <c r="AU422" s="101" t="e">
        <f t="shared" si="318"/>
        <v>#DIV/0!</v>
      </c>
      <c r="AV422" s="287" t="e">
        <f t="shared" si="319"/>
        <v>#DIV/0!</v>
      </c>
      <c r="AW422" s="235" t="e">
        <f t="shared" si="355"/>
        <v>#DIV/0!</v>
      </c>
      <c r="AX422" s="281">
        <f>IF(B422&gt;mpfo,0,IF(B422=mpfo,(vld-teo*(1+tcfo-incc)^(MAX(mmo,mmv)-mbfo))*-1,IF(SUM($N$13:N421)&gt;=pmo,IF(($V421/ntudv)&gt;=pmv,IF(B422=MAX(mmo,mmv),-teo*(1+tcfo-incc)^(B422-mbfo),0),0),0)))</f>
        <v>0</v>
      </c>
      <c r="AY422" s="292" t="e">
        <f t="shared" si="320"/>
        <v>#DIV/0!</v>
      </c>
      <c r="AZ422" s="235" t="e">
        <f t="shared" si="356"/>
        <v>#DIV/0!</v>
      </c>
      <c r="BA422" s="269" t="e">
        <f t="shared" si="357"/>
        <v>#DIV/0!</v>
      </c>
      <c r="BB422" s="292" t="e">
        <f t="shared" si="358"/>
        <v>#DIV/0!</v>
      </c>
      <c r="BC422" s="238" t="e">
        <f>IF(SUM($BC$13:BC421)&gt;0,0,IF(BB422&gt;0,B422,0))</f>
        <v>#DIV/0!</v>
      </c>
      <c r="BD422" s="292" t="e">
        <f>IF(BB422+SUM($BD$12:BD421)&gt;=0,0,-BB422-SUM($BD$12:BD421))</f>
        <v>#DIV/0!</v>
      </c>
      <c r="BE422" s="235" t="e">
        <f>BB422+SUM($BD$12:BD422)</f>
        <v>#DIV/0!</v>
      </c>
      <c r="BF422" s="292" t="e">
        <f>-MIN(BE422:$BE$501)-SUM(BF$12:$BF421)</f>
        <v>#DIV/0!</v>
      </c>
      <c r="BG422" s="235" t="e">
        <f t="shared" si="323"/>
        <v>#DIV/0!</v>
      </c>
    </row>
    <row r="423" spans="2:59">
      <c r="B423" s="120">
        <v>410</v>
      </c>
      <c r="C423" s="241">
        <f t="shared" si="322"/>
        <v>55158</v>
      </c>
      <c r="D423" s="229">
        <f t="shared" si="324"/>
        <v>1</v>
      </c>
      <c r="E423" s="230" t="str">
        <f t="shared" si="325"/>
        <v>-</v>
      </c>
      <c r="F423" s="231">
        <f t="shared" si="326"/>
        <v>0</v>
      </c>
      <c r="G423" s="231">
        <f t="shared" si="327"/>
        <v>0</v>
      </c>
      <c r="H423" s="231">
        <f t="shared" si="328"/>
        <v>0</v>
      </c>
      <c r="I423" s="268">
        <f t="shared" si="313"/>
        <v>0</v>
      </c>
      <c r="J423" s="269">
        <f t="shared" si="329"/>
        <v>0</v>
      </c>
      <c r="K423" s="269">
        <f t="shared" si="330"/>
        <v>0</v>
      </c>
      <c r="L423" s="269">
        <f t="shared" si="314"/>
        <v>0</v>
      </c>
      <c r="M423" s="269">
        <f t="shared" si="315"/>
        <v>0</v>
      </c>
      <c r="N423" s="233">
        <f>VLOOKUP(B423,Dados!$L$86:$P$90,5)</f>
        <v>0</v>
      </c>
      <c r="O423" s="270">
        <f t="shared" si="331"/>
        <v>0.99999999999999989</v>
      </c>
      <c r="P423" s="269">
        <f t="shared" si="332"/>
        <v>0</v>
      </c>
      <c r="Q423" s="269" t="e">
        <f t="shared" si="333"/>
        <v>#DIV/0!</v>
      </c>
      <c r="R423" s="269">
        <f t="shared" si="334"/>
        <v>0</v>
      </c>
      <c r="S423" s="269" t="e">
        <f t="shared" si="335"/>
        <v>#DIV/0!</v>
      </c>
      <c r="T423" s="269" t="e">
        <f t="shared" si="321"/>
        <v>#DIV/0!</v>
      </c>
      <c r="U423" s="234">
        <f t="shared" si="336"/>
        <v>0</v>
      </c>
      <c r="V423" s="232" t="e">
        <f t="shared" si="337"/>
        <v>#DIV/0!</v>
      </c>
      <c r="W423" s="269" t="e">
        <f t="shared" si="338"/>
        <v>#DIV/0!</v>
      </c>
      <c r="X423" s="235">
        <f t="shared" si="316"/>
        <v>0</v>
      </c>
      <c r="Y423" s="236">
        <f t="shared" si="339"/>
        <v>5</v>
      </c>
      <c r="Z423" s="236" t="e">
        <f t="shared" si="340"/>
        <v>#DIV/0!</v>
      </c>
      <c r="AA423" s="236">
        <f t="shared" si="341"/>
        <v>3</v>
      </c>
      <c r="AB423" s="236" t="e">
        <f t="shared" si="342"/>
        <v>#DIV/0!</v>
      </c>
      <c r="AC423" s="235">
        <f t="shared" si="343"/>
        <v>0</v>
      </c>
      <c r="AD423" s="235">
        <f t="shared" si="344"/>
        <v>0</v>
      </c>
      <c r="AE423" s="279">
        <f t="shared" si="345"/>
        <v>0</v>
      </c>
      <c r="AF423" s="232">
        <f t="shared" si="346"/>
        <v>0</v>
      </c>
      <c r="AG423" s="235">
        <f t="shared" si="347"/>
        <v>0</v>
      </c>
      <c r="AH423" s="269">
        <f t="shared" si="348"/>
        <v>0</v>
      </c>
      <c r="AI423" s="232">
        <f t="shared" si="349"/>
        <v>0</v>
      </c>
      <c r="AJ423" s="235">
        <f t="shared" si="350"/>
        <v>0</v>
      </c>
      <c r="AK423" s="269">
        <f t="shared" si="351"/>
        <v>0</v>
      </c>
      <c r="AL423" s="269">
        <f t="shared" si="317"/>
        <v>0</v>
      </c>
      <c r="AM423" s="281" t="e">
        <f>IF(B423&gt;=mpfo,pos*vvm*Dados!$E$122*(ntudv-SUM(U$301:$U424))-SUM($AM$13:AM422),0)</f>
        <v>#DIV/0!</v>
      </c>
      <c r="AN423" s="269" t="e">
        <f t="shared" si="352"/>
        <v>#DIV/0!</v>
      </c>
      <c r="AO423" s="232" t="e">
        <f t="shared" si="353"/>
        <v>#DIV/0!</v>
      </c>
      <c r="AP423" s="242" t="e">
        <f t="shared" si="354"/>
        <v>#DIV/0!</v>
      </c>
      <c r="AQ423" s="235" t="e">
        <f>IF(AP423+SUM($AQ$12:AQ422)&gt;=0,0,-AP423-SUM($AQ$12:AQ422))</f>
        <v>#DIV/0!</v>
      </c>
      <c r="AR423" s="235">
        <f>IF(SUM($N$13:N422)&gt;=pmo,IF(SUM(N422:$N$501)&gt;(1-pmo),B423,0),0)</f>
        <v>0</v>
      </c>
      <c r="AS423" s="235" t="e">
        <f>IF((SUM($U$13:$U422)/ntudv)&gt;=pmv,IF((SUM($U422:$U$501)/ntudv)&gt;(1-pmv),B423,0),0)</f>
        <v>#DIV/0!</v>
      </c>
      <c r="AT423" s="237" t="e">
        <f>IF(MAX(mmo,mmv)=mmo,IF(B423=AR423,(SUM(N$13:$N422)-pmo)/((1-VLOOKUP(MAX(mmo,mmv)-1,$B$13:$O$501,14))+(VLOOKUP(MAX(mmo,mmv)-1,$B$13:$O$501,14)-pmo)),N422/((1-VLOOKUP(MAX(mmo,mmv)-1,$B$13:$O$501,14)+(VLOOKUP(MAX(mmo,mmv)-1,$B$13:$O$501,14)-pmo)))),N422/(1-VLOOKUP(MAX(mmo,mmv)-2,$B$13:$O$501,14)))</f>
        <v>#DIV/0!</v>
      </c>
      <c r="AU423" s="101" t="e">
        <f t="shared" si="318"/>
        <v>#DIV/0!</v>
      </c>
      <c r="AV423" s="287" t="e">
        <f t="shared" si="319"/>
        <v>#DIV/0!</v>
      </c>
      <c r="AW423" s="235" t="e">
        <f t="shared" si="355"/>
        <v>#DIV/0!</v>
      </c>
      <c r="AX423" s="281">
        <f>IF(B423&gt;mpfo,0,IF(B423=mpfo,(vld-teo*(1+tcfo-incc)^(MAX(mmo,mmv)-mbfo))*-1,IF(SUM($N$13:N422)&gt;=pmo,IF(($V422/ntudv)&gt;=pmv,IF(B423=MAX(mmo,mmv),-teo*(1+tcfo-incc)^(B423-mbfo),0),0),0)))</f>
        <v>0</v>
      </c>
      <c r="AY423" s="292" t="e">
        <f t="shared" si="320"/>
        <v>#DIV/0!</v>
      </c>
      <c r="AZ423" s="235" t="e">
        <f t="shared" si="356"/>
        <v>#DIV/0!</v>
      </c>
      <c r="BA423" s="269" t="e">
        <f t="shared" si="357"/>
        <v>#DIV/0!</v>
      </c>
      <c r="BB423" s="292" t="e">
        <f t="shared" si="358"/>
        <v>#DIV/0!</v>
      </c>
      <c r="BC423" s="238" t="e">
        <f>IF(SUM($BC$13:BC422)&gt;0,0,IF(BB423&gt;0,B423,0))</f>
        <v>#DIV/0!</v>
      </c>
      <c r="BD423" s="292" t="e">
        <f>IF(BB423+SUM($BD$12:BD422)&gt;=0,0,-BB423-SUM($BD$12:BD422))</f>
        <v>#DIV/0!</v>
      </c>
      <c r="BE423" s="235" t="e">
        <f>BB423+SUM($BD$12:BD423)</f>
        <v>#DIV/0!</v>
      </c>
      <c r="BF423" s="292" t="e">
        <f>-MIN(BE423:$BE$501)-SUM(BF$12:$BF422)</f>
        <v>#DIV/0!</v>
      </c>
      <c r="BG423" s="235" t="e">
        <f t="shared" si="323"/>
        <v>#DIV/0!</v>
      </c>
    </row>
    <row r="424" spans="2:59">
      <c r="B424" s="246">
        <v>411</v>
      </c>
      <c r="C424" s="241">
        <f t="shared" si="322"/>
        <v>55189</v>
      </c>
      <c r="D424" s="229">
        <f t="shared" si="324"/>
        <v>2</v>
      </c>
      <c r="E424" s="230" t="str">
        <f t="shared" si="325"/>
        <v>-</v>
      </c>
      <c r="F424" s="231">
        <f t="shared" si="326"/>
        <v>0</v>
      </c>
      <c r="G424" s="231">
        <f t="shared" si="327"/>
        <v>0</v>
      </c>
      <c r="H424" s="231">
        <f t="shared" si="328"/>
        <v>0</v>
      </c>
      <c r="I424" s="268">
        <f t="shared" si="313"/>
        <v>0</v>
      </c>
      <c r="J424" s="269">
        <f t="shared" si="329"/>
        <v>0</v>
      </c>
      <c r="K424" s="269">
        <f t="shared" si="330"/>
        <v>0</v>
      </c>
      <c r="L424" s="269">
        <f t="shared" si="314"/>
        <v>0</v>
      </c>
      <c r="M424" s="269">
        <f t="shared" si="315"/>
        <v>0</v>
      </c>
      <c r="N424" s="233">
        <f>VLOOKUP(B424,Dados!$L$86:$P$90,5)</f>
        <v>0</v>
      </c>
      <c r="O424" s="270">
        <f t="shared" si="331"/>
        <v>0.99999999999999989</v>
      </c>
      <c r="P424" s="269">
        <f t="shared" si="332"/>
        <v>0</v>
      </c>
      <c r="Q424" s="269" t="e">
        <f t="shared" si="333"/>
        <v>#DIV/0!</v>
      </c>
      <c r="R424" s="269">
        <f t="shared" si="334"/>
        <v>0</v>
      </c>
      <c r="S424" s="269" t="e">
        <f t="shared" si="335"/>
        <v>#DIV/0!</v>
      </c>
      <c r="T424" s="269" t="e">
        <f t="shared" si="321"/>
        <v>#DIV/0!</v>
      </c>
      <c r="U424" s="234">
        <f t="shared" si="336"/>
        <v>0</v>
      </c>
      <c r="V424" s="232" t="e">
        <f t="shared" si="337"/>
        <v>#DIV/0!</v>
      </c>
      <c r="W424" s="269" t="e">
        <f t="shared" si="338"/>
        <v>#DIV/0!</v>
      </c>
      <c r="X424" s="235">
        <f t="shared" si="316"/>
        <v>0</v>
      </c>
      <c r="Y424" s="236">
        <f t="shared" si="339"/>
        <v>5</v>
      </c>
      <c r="Z424" s="236" t="e">
        <f t="shared" si="340"/>
        <v>#DIV/0!</v>
      </c>
      <c r="AA424" s="236">
        <f t="shared" si="341"/>
        <v>3</v>
      </c>
      <c r="AB424" s="236" t="e">
        <f t="shared" si="342"/>
        <v>#DIV/0!</v>
      </c>
      <c r="AC424" s="235">
        <f t="shared" si="343"/>
        <v>0</v>
      </c>
      <c r="AD424" s="235">
        <f t="shared" si="344"/>
        <v>0</v>
      </c>
      <c r="AE424" s="279">
        <f t="shared" si="345"/>
        <v>0</v>
      </c>
      <c r="AF424" s="232">
        <f t="shared" si="346"/>
        <v>0</v>
      </c>
      <c r="AG424" s="235">
        <f t="shared" si="347"/>
        <v>0</v>
      </c>
      <c r="AH424" s="269">
        <f t="shared" si="348"/>
        <v>0</v>
      </c>
      <c r="AI424" s="232">
        <f t="shared" si="349"/>
        <v>0</v>
      </c>
      <c r="AJ424" s="235">
        <f t="shared" si="350"/>
        <v>0</v>
      </c>
      <c r="AK424" s="269">
        <f t="shared" si="351"/>
        <v>0</v>
      </c>
      <c r="AL424" s="269">
        <f t="shared" si="317"/>
        <v>0</v>
      </c>
      <c r="AM424" s="281" t="e">
        <f>IF(B424&gt;=mpfo,pos*vvm*Dados!$E$122*(ntudv-SUM(U$301:$U425))-SUM($AM$13:AM423),0)</f>
        <v>#DIV/0!</v>
      </c>
      <c r="AN424" s="269" t="e">
        <f t="shared" si="352"/>
        <v>#DIV/0!</v>
      </c>
      <c r="AO424" s="232" t="e">
        <f t="shared" si="353"/>
        <v>#DIV/0!</v>
      </c>
      <c r="AP424" s="242" t="e">
        <f t="shared" si="354"/>
        <v>#DIV/0!</v>
      </c>
      <c r="AQ424" s="235" t="e">
        <f>IF(AP424+SUM($AQ$12:AQ423)&gt;=0,0,-AP424-SUM($AQ$12:AQ423))</f>
        <v>#DIV/0!</v>
      </c>
      <c r="AR424" s="235">
        <f>IF(SUM($N$13:N423)&gt;=pmo,IF(SUM(N423:$N$501)&gt;(1-pmo),B424,0),0)</f>
        <v>0</v>
      </c>
      <c r="AS424" s="235" t="e">
        <f>IF((SUM($U$13:$U423)/ntudv)&gt;=pmv,IF((SUM($U423:$U$501)/ntudv)&gt;(1-pmv),B424,0),0)</f>
        <v>#DIV/0!</v>
      </c>
      <c r="AT424" s="237" t="e">
        <f>IF(MAX(mmo,mmv)=mmo,IF(B424=AR424,(SUM(N$13:$N423)-pmo)/((1-VLOOKUP(MAX(mmo,mmv)-1,$B$13:$O$501,14))+(VLOOKUP(MAX(mmo,mmv)-1,$B$13:$O$501,14)-pmo)),N423/((1-VLOOKUP(MAX(mmo,mmv)-1,$B$13:$O$501,14)+(VLOOKUP(MAX(mmo,mmv)-1,$B$13:$O$501,14)-pmo)))),N423/(1-VLOOKUP(MAX(mmo,mmv)-2,$B$13:$O$501,14)))</f>
        <v>#DIV/0!</v>
      </c>
      <c r="AU424" s="101" t="e">
        <f t="shared" si="318"/>
        <v>#DIV/0!</v>
      </c>
      <c r="AV424" s="287" t="e">
        <f t="shared" si="319"/>
        <v>#DIV/0!</v>
      </c>
      <c r="AW424" s="235" t="e">
        <f t="shared" si="355"/>
        <v>#DIV/0!</v>
      </c>
      <c r="AX424" s="281">
        <f>IF(B424&gt;mpfo,0,IF(B424=mpfo,(vld-teo*(1+tcfo-incc)^(MAX(mmo,mmv)-mbfo))*-1,IF(SUM($N$13:N423)&gt;=pmo,IF(($V423/ntudv)&gt;=pmv,IF(B424=MAX(mmo,mmv),-teo*(1+tcfo-incc)^(B424-mbfo),0),0),0)))</f>
        <v>0</v>
      </c>
      <c r="AY424" s="292" t="e">
        <f t="shared" si="320"/>
        <v>#DIV/0!</v>
      </c>
      <c r="AZ424" s="235" t="e">
        <f t="shared" si="356"/>
        <v>#DIV/0!</v>
      </c>
      <c r="BA424" s="269" t="e">
        <f t="shared" si="357"/>
        <v>#DIV/0!</v>
      </c>
      <c r="BB424" s="292" t="e">
        <f t="shared" si="358"/>
        <v>#DIV/0!</v>
      </c>
      <c r="BC424" s="238" t="e">
        <f>IF(SUM($BC$13:BC423)&gt;0,0,IF(BB424&gt;0,B424,0))</f>
        <v>#DIV/0!</v>
      </c>
      <c r="BD424" s="292" t="e">
        <f>IF(BB424+SUM($BD$12:BD423)&gt;=0,0,-BB424-SUM($BD$12:BD423))</f>
        <v>#DIV/0!</v>
      </c>
      <c r="BE424" s="235" t="e">
        <f>BB424+SUM($BD$12:BD424)</f>
        <v>#DIV/0!</v>
      </c>
      <c r="BF424" s="292" t="e">
        <f>-MIN(BE424:$BE$501)-SUM(BF$12:$BF423)</f>
        <v>#DIV/0!</v>
      </c>
      <c r="BG424" s="235" t="e">
        <f t="shared" si="323"/>
        <v>#DIV/0!</v>
      </c>
    </row>
    <row r="425" spans="2:59">
      <c r="B425" s="120">
        <v>412</v>
      </c>
      <c r="C425" s="241">
        <f t="shared" si="322"/>
        <v>55217</v>
      </c>
      <c r="D425" s="229">
        <f t="shared" si="324"/>
        <v>3</v>
      </c>
      <c r="E425" s="230" t="str">
        <f t="shared" si="325"/>
        <v>-</v>
      </c>
      <c r="F425" s="231">
        <f t="shared" si="326"/>
        <v>0</v>
      </c>
      <c r="G425" s="231">
        <f t="shared" si="327"/>
        <v>0</v>
      </c>
      <c r="H425" s="231">
        <f t="shared" si="328"/>
        <v>0</v>
      </c>
      <c r="I425" s="268">
        <f t="shared" si="313"/>
        <v>0</v>
      </c>
      <c r="J425" s="269">
        <f t="shared" si="329"/>
        <v>0</v>
      </c>
      <c r="K425" s="269">
        <f t="shared" si="330"/>
        <v>0</v>
      </c>
      <c r="L425" s="269">
        <f t="shared" si="314"/>
        <v>0</v>
      </c>
      <c r="M425" s="269">
        <f t="shared" si="315"/>
        <v>0</v>
      </c>
      <c r="N425" s="233">
        <f>VLOOKUP(B425,Dados!$L$86:$P$90,5)</f>
        <v>0</v>
      </c>
      <c r="O425" s="270">
        <f t="shared" si="331"/>
        <v>0.99999999999999989</v>
      </c>
      <c r="P425" s="269">
        <f t="shared" si="332"/>
        <v>0</v>
      </c>
      <c r="Q425" s="269" t="e">
        <f t="shared" si="333"/>
        <v>#DIV/0!</v>
      </c>
      <c r="R425" s="269">
        <f t="shared" si="334"/>
        <v>0</v>
      </c>
      <c r="S425" s="269" t="e">
        <f t="shared" si="335"/>
        <v>#DIV/0!</v>
      </c>
      <c r="T425" s="269" t="e">
        <f t="shared" si="321"/>
        <v>#DIV/0!</v>
      </c>
      <c r="U425" s="234">
        <f t="shared" si="336"/>
        <v>0</v>
      </c>
      <c r="V425" s="232" t="e">
        <f t="shared" si="337"/>
        <v>#DIV/0!</v>
      </c>
      <c r="W425" s="269" t="e">
        <f t="shared" si="338"/>
        <v>#DIV/0!</v>
      </c>
      <c r="X425" s="235">
        <f t="shared" si="316"/>
        <v>0</v>
      </c>
      <c r="Y425" s="236">
        <f t="shared" si="339"/>
        <v>5</v>
      </c>
      <c r="Z425" s="236" t="e">
        <f t="shared" si="340"/>
        <v>#DIV/0!</v>
      </c>
      <c r="AA425" s="236">
        <f t="shared" si="341"/>
        <v>3</v>
      </c>
      <c r="AB425" s="236" t="e">
        <f t="shared" si="342"/>
        <v>#DIV/0!</v>
      </c>
      <c r="AC425" s="235">
        <f t="shared" si="343"/>
        <v>0</v>
      </c>
      <c r="AD425" s="235">
        <f t="shared" si="344"/>
        <v>0</v>
      </c>
      <c r="AE425" s="279">
        <f t="shared" si="345"/>
        <v>0</v>
      </c>
      <c r="AF425" s="232">
        <f t="shared" si="346"/>
        <v>0</v>
      </c>
      <c r="AG425" s="235">
        <f t="shared" si="347"/>
        <v>0</v>
      </c>
      <c r="AH425" s="269">
        <f t="shared" si="348"/>
        <v>0</v>
      </c>
      <c r="AI425" s="232">
        <f t="shared" si="349"/>
        <v>0</v>
      </c>
      <c r="AJ425" s="235">
        <f t="shared" si="350"/>
        <v>0</v>
      </c>
      <c r="AK425" s="269">
        <f t="shared" si="351"/>
        <v>0</v>
      </c>
      <c r="AL425" s="269">
        <f t="shared" si="317"/>
        <v>0</v>
      </c>
      <c r="AM425" s="281" t="e">
        <f>IF(B425&gt;=mpfo,pos*vvm*Dados!$E$122*(ntudv-SUM(U$301:$U426))-SUM($AM$13:AM424),0)</f>
        <v>#DIV/0!</v>
      </c>
      <c r="AN425" s="269" t="e">
        <f t="shared" si="352"/>
        <v>#DIV/0!</v>
      </c>
      <c r="AO425" s="232" t="e">
        <f t="shared" si="353"/>
        <v>#DIV/0!</v>
      </c>
      <c r="AP425" s="242" t="e">
        <f t="shared" si="354"/>
        <v>#DIV/0!</v>
      </c>
      <c r="AQ425" s="235" t="e">
        <f>IF(AP425+SUM($AQ$12:AQ424)&gt;=0,0,-AP425-SUM($AQ$12:AQ424))</f>
        <v>#DIV/0!</v>
      </c>
      <c r="AR425" s="235">
        <f>IF(SUM($N$13:N424)&gt;=pmo,IF(SUM(N424:$N$501)&gt;(1-pmo),B425,0),0)</f>
        <v>0</v>
      </c>
      <c r="AS425" s="235" t="e">
        <f>IF((SUM($U$13:$U424)/ntudv)&gt;=pmv,IF((SUM($U424:$U$501)/ntudv)&gt;(1-pmv),B425,0),0)</f>
        <v>#DIV/0!</v>
      </c>
      <c r="AT425" s="237" t="e">
        <f>IF(MAX(mmo,mmv)=mmo,IF(B425=AR425,(SUM(N$13:$N424)-pmo)/((1-VLOOKUP(MAX(mmo,mmv)-1,$B$13:$O$501,14))+(VLOOKUP(MAX(mmo,mmv)-1,$B$13:$O$501,14)-pmo)),N424/((1-VLOOKUP(MAX(mmo,mmv)-1,$B$13:$O$501,14)+(VLOOKUP(MAX(mmo,mmv)-1,$B$13:$O$501,14)-pmo)))),N424/(1-VLOOKUP(MAX(mmo,mmv)-2,$B$13:$O$501,14)))</f>
        <v>#DIV/0!</v>
      </c>
      <c r="AU425" s="101" t="e">
        <f t="shared" si="318"/>
        <v>#DIV/0!</v>
      </c>
      <c r="AV425" s="287" t="e">
        <f t="shared" si="319"/>
        <v>#DIV/0!</v>
      </c>
      <c r="AW425" s="235" t="e">
        <f t="shared" si="355"/>
        <v>#DIV/0!</v>
      </c>
      <c r="AX425" s="281">
        <f>IF(B425&gt;mpfo,0,IF(B425=mpfo,(vld-teo*(1+tcfo-incc)^(MAX(mmo,mmv)-mbfo))*-1,IF(SUM($N$13:N424)&gt;=pmo,IF(($V424/ntudv)&gt;=pmv,IF(B425=MAX(mmo,mmv),-teo*(1+tcfo-incc)^(B425-mbfo),0),0),0)))</f>
        <v>0</v>
      </c>
      <c r="AY425" s="292" t="e">
        <f t="shared" si="320"/>
        <v>#DIV/0!</v>
      </c>
      <c r="AZ425" s="235" t="e">
        <f t="shared" si="356"/>
        <v>#DIV/0!</v>
      </c>
      <c r="BA425" s="269" t="e">
        <f t="shared" si="357"/>
        <v>#DIV/0!</v>
      </c>
      <c r="BB425" s="292" t="e">
        <f t="shared" si="358"/>
        <v>#DIV/0!</v>
      </c>
      <c r="BC425" s="238" t="e">
        <f>IF(SUM($BC$13:BC424)&gt;0,0,IF(BB425&gt;0,B425,0))</f>
        <v>#DIV/0!</v>
      </c>
      <c r="BD425" s="292" t="e">
        <f>IF(BB425+SUM($BD$12:BD424)&gt;=0,0,-BB425-SUM($BD$12:BD424))</f>
        <v>#DIV/0!</v>
      </c>
      <c r="BE425" s="235" t="e">
        <f>BB425+SUM($BD$12:BD425)</f>
        <v>#DIV/0!</v>
      </c>
      <c r="BF425" s="292" t="e">
        <f>-MIN(BE425:$BE$501)-SUM(BF$12:$BF424)</f>
        <v>#DIV/0!</v>
      </c>
      <c r="BG425" s="235" t="e">
        <f t="shared" si="323"/>
        <v>#DIV/0!</v>
      </c>
    </row>
    <row r="426" spans="2:59">
      <c r="B426" s="246">
        <v>413</v>
      </c>
      <c r="C426" s="241">
        <f t="shared" si="322"/>
        <v>55248</v>
      </c>
      <c r="D426" s="229">
        <f t="shared" si="324"/>
        <v>4</v>
      </c>
      <c r="E426" s="230" t="str">
        <f t="shared" si="325"/>
        <v>-</v>
      </c>
      <c r="F426" s="231">
        <f t="shared" si="326"/>
        <v>0</v>
      </c>
      <c r="G426" s="231">
        <f t="shared" si="327"/>
        <v>0</v>
      </c>
      <c r="H426" s="231">
        <f t="shared" si="328"/>
        <v>0</v>
      </c>
      <c r="I426" s="268">
        <f t="shared" si="313"/>
        <v>0</v>
      </c>
      <c r="J426" s="269">
        <f t="shared" si="329"/>
        <v>0</v>
      </c>
      <c r="K426" s="269">
        <f t="shared" si="330"/>
        <v>0</v>
      </c>
      <c r="L426" s="269">
        <f t="shared" si="314"/>
        <v>0</v>
      </c>
      <c r="M426" s="269">
        <f t="shared" si="315"/>
        <v>0</v>
      </c>
      <c r="N426" s="233">
        <f>VLOOKUP(B426,Dados!$L$86:$P$90,5)</f>
        <v>0</v>
      </c>
      <c r="O426" s="270">
        <f t="shared" si="331"/>
        <v>0.99999999999999989</v>
      </c>
      <c r="P426" s="269">
        <f t="shared" si="332"/>
        <v>0</v>
      </c>
      <c r="Q426" s="269" t="e">
        <f t="shared" si="333"/>
        <v>#DIV/0!</v>
      </c>
      <c r="R426" s="269">
        <f t="shared" si="334"/>
        <v>0</v>
      </c>
      <c r="S426" s="269" t="e">
        <f t="shared" si="335"/>
        <v>#DIV/0!</v>
      </c>
      <c r="T426" s="269" t="e">
        <f t="shared" si="321"/>
        <v>#DIV/0!</v>
      </c>
      <c r="U426" s="234">
        <f t="shared" si="336"/>
        <v>0</v>
      </c>
      <c r="V426" s="232" t="e">
        <f t="shared" si="337"/>
        <v>#DIV/0!</v>
      </c>
      <c r="W426" s="269" t="e">
        <f t="shared" si="338"/>
        <v>#DIV/0!</v>
      </c>
      <c r="X426" s="235">
        <f t="shared" si="316"/>
        <v>0</v>
      </c>
      <c r="Y426" s="236">
        <f t="shared" si="339"/>
        <v>5</v>
      </c>
      <c r="Z426" s="236" t="e">
        <f t="shared" si="340"/>
        <v>#DIV/0!</v>
      </c>
      <c r="AA426" s="236">
        <f t="shared" si="341"/>
        <v>3</v>
      </c>
      <c r="AB426" s="236" t="e">
        <f t="shared" si="342"/>
        <v>#DIV/0!</v>
      </c>
      <c r="AC426" s="235">
        <f t="shared" si="343"/>
        <v>0</v>
      </c>
      <c r="AD426" s="235">
        <f t="shared" si="344"/>
        <v>0</v>
      </c>
      <c r="AE426" s="279">
        <f t="shared" si="345"/>
        <v>0</v>
      </c>
      <c r="AF426" s="232">
        <f t="shared" si="346"/>
        <v>0</v>
      </c>
      <c r="AG426" s="235">
        <f t="shared" si="347"/>
        <v>0</v>
      </c>
      <c r="AH426" s="269">
        <f t="shared" si="348"/>
        <v>0</v>
      </c>
      <c r="AI426" s="232">
        <f t="shared" si="349"/>
        <v>0</v>
      </c>
      <c r="AJ426" s="235">
        <f t="shared" si="350"/>
        <v>0</v>
      </c>
      <c r="AK426" s="269">
        <f t="shared" si="351"/>
        <v>0</v>
      </c>
      <c r="AL426" s="269">
        <f t="shared" si="317"/>
        <v>0</v>
      </c>
      <c r="AM426" s="281" t="e">
        <f>IF(B426&gt;=mpfo,pos*vvm*Dados!$E$122*(ntudv-SUM(U$301:$U427))-SUM($AM$13:AM425),0)</f>
        <v>#DIV/0!</v>
      </c>
      <c r="AN426" s="269" t="e">
        <f t="shared" si="352"/>
        <v>#DIV/0!</v>
      </c>
      <c r="AO426" s="232" t="e">
        <f t="shared" si="353"/>
        <v>#DIV/0!</v>
      </c>
      <c r="AP426" s="242" t="e">
        <f t="shared" si="354"/>
        <v>#DIV/0!</v>
      </c>
      <c r="AQ426" s="235" t="e">
        <f>IF(AP426+SUM($AQ$12:AQ425)&gt;=0,0,-AP426-SUM($AQ$12:AQ425))</f>
        <v>#DIV/0!</v>
      </c>
      <c r="AR426" s="235">
        <f>IF(SUM($N$13:N425)&gt;=pmo,IF(SUM(N425:$N$501)&gt;(1-pmo),B426,0),0)</f>
        <v>0</v>
      </c>
      <c r="AS426" s="235" t="e">
        <f>IF((SUM($U$13:$U425)/ntudv)&gt;=pmv,IF((SUM($U425:$U$501)/ntudv)&gt;(1-pmv),B426,0),0)</f>
        <v>#DIV/0!</v>
      </c>
      <c r="AT426" s="237" t="e">
        <f>IF(MAX(mmo,mmv)=mmo,IF(B426=AR426,(SUM(N$13:$N425)-pmo)/((1-VLOOKUP(MAX(mmo,mmv)-1,$B$13:$O$501,14))+(VLOOKUP(MAX(mmo,mmv)-1,$B$13:$O$501,14)-pmo)),N425/((1-VLOOKUP(MAX(mmo,mmv)-1,$B$13:$O$501,14)+(VLOOKUP(MAX(mmo,mmv)-1,$B$13:$O$501,14)-pmo)))),N425/(1-VLOOKUP(MAX(mmo,mmv)-2,$B$13:$O$501,14)))</f>
        <v>#DIV/0!</v>
      </c>
      <c r="AU426" s="101" t="e">
        <f t="shared" si="318"/>
        <v>#DIV/0!</v>
      </c>
      <c r="AV426" s="287" t="e">
        <f t="shared" si="319"/>
        <v>#DIV/0!</v>
      </c>
      <c r="AW426" s="235" t="e">
        <f t="shared" si="355"/>
        <v>#DIV/0!</v>
      </c>
      <c r="AX426" s="281">
        <f>IF(B426&gt;mpfo,0,IF(B426=mpfo,(vld-teo*(1+tcfo-incc)^(MAX(mmo,mmv)-mbfo))*-1,IF(SUM($N$13:N425)&gt;=pmo,IF(($V425/ntudv)&gt;=pmv,IF(B426=MAX(mmo,mmv),-teo*(1+tcfo-incc)^(B426-mbfo),0),0),0)))</f>
        <v>0</v>
      </c>
      <c r="AY426" s="292" t="e">
        <f t="shared" si="320"/>
        <v>#DIV/0!</v>
      </c>
      <c r="AZ426" s="235" t="e">
        <f t="shared" si="356"/>
        <v>#DIV/0!</v>
      </c>
      <c r="BA426" s="269" t="e">
        <f t="shared" si="357"/>
        <v>#DIV/0!</v>
      </c>
      <c r="BB426" s="292" t="e">
        <f t="shared" si="358"/>
        <v>#DIV/0!</v>
      </c>
      <c r="BC426" s="238" t="e">
        <f>IF(SUM($BC$13:BC425)&gt;0,0,IF(BB426&gt;0,B426,0))</f>
        <v>#DIV/0!</v>
      </c>
      <c r="BD426" s="292" t="e">
        <f>IF(BB426+SUM($BD$12:BD425)&gt;=0,0,-BB426-SUM($BD$12:BD425))</f>
        <v>#DIV/0!</v>
      </c>
      <c r="BE426" s="235" t="e">
        <f>BB426+SUM($BD$12:BD426)</f>
        <v>#DIV/0!</v>
      </c>
      <c r="BF426" s="292" t="e">
        <f>-MIN(BE426:$BE$501)-SUM(BF$12:$BF425)</f>
        <v>#DIV/0!</v>
      </c>
      <c r="BG426" s="235" t="e">
        <f t="shared" si="323"/>
        <v>#DIV/0!</v>
      </c>
    </row>
    <row r="427" spans="2:59">
      <c r="B427" s="120">
        <v>414</v>
      </c>
      <c r="C427" s="241">
        <f t="shared" si="322"/>
        <v>55278</v>
      </c>
      <c r="D427" s="229">
        <f t="shared" si="324"/>
        <v>5</v>
      </c>
      <c r="E427" s="230" t="str">
        <f t="shared" si="325"/>
        <v>-</v>
      </c>
      <c r="F427" s="231">
        <f t="shared" si="326"/>
        <v>0</v>
      </c>
      <c r="G427" s="231">
        <f t="shared" si="327"/>
        <v>0</v>
      </c>
      <c r="H427" s="231">
        <f t="shared" si="328"/>
        <v>0</v>
      </c>
      <c r="I427" s="268">
        <f t="shared" si="313"/>
        <v>0</v>
      </c>
      <c r="J427" s="269">
        <f t="shared" si="329"/>
        <v>0</v>
      </c>
      <c r="K427" s="269">
        <f t="shared" si="330"/>
        <v>0</v>
      </c>
      <c r="L427" s="269">
        <f t="shared" si="314"/>
        <v>0</v>
      </c>
      <c r="M427" s="269">
        <f t="shared" si="315"/>
        <v>0</v>
      </c>
      <c r="N427" s="233">
        <f>VLOOKUP(B427,Dados!$L$86:$P$90,5)</f>
        <v>0</v>
      </c>
      <c r="O427" s="270">
        <f t="shared" si="331"/>
        <v>0.99999999999999989</v>
      </c>
      <c r="P427" s="269">
        <f t="shared" si="332"/>
        <v>0</v>
      </c>
      <c r="Q427" s="269" t="e">
        <f t="shared" si="333"/>
        <v>#DIV/0!</v>
      </c>
      <c r="R427" s="269">
        <f t="shared" si="334"/>
        <v>0</v>
      </c>
      <c r="S427" s="269" t="e">
        <f t="shared" si="335"/>
        <v>#DIV/0!</v>
      </c>
      <c r="T427" s="269" t="e">
        <f t="shared" si="321"/>
        <v>#DIV/0!</v>
      </c>
      <c r="U427" s="234">
        <f t="shared" si="336"/>
        <v>0</v>
      </c>
      <c r="V427" s="232" t="e">
        <f t="shared" si="337"/>
        <v>#DIV/0!</v>
      </c>
      <c r="W427" s="269" t="e">
        <f t="shared" si="338"/>
        <v>#DIV/0!</v>
      </c>
      <c r="X427" s="235">
        <f t="shared" si="316"/>
        <v>0</v>
      </c>
      <c r="Y427" s="236">
        <f t="shared" si="339"/>
        <v>5</v>
      </c>
      <c r="Z427" s="236" t="e">
        <f t="shared" si="340"/>
        <v>#DIV/0!</v>
      </c>
      <c r="AA427" s="236">
        <f t="shared" si="341"/>
        <v>3</v>
      </c>
      <c r="AB427" s="236" t="e">
        <f t="shared" si="342"/>
        <v>#DIV/0!</v>
      </c>
      <c r="AC427" s="235">
        <f t="shared" si="343"/>
        <v>0</v>
      </c>
      <c r="AD427" s="235">
        <f t="shared" si="344"/>
        <v>0</v>
      </c>
      <c r="AE427" s="279">
        <f t="shared" si="345"/>
        <v>0</v>
      </c>
      <c r="AF427" s="232">
        <f t="shared" si="346"/>
        <v>0</v>
      </c>
      <c r="AG427" s="235">
        <f t="shared" si="347"/>
        <v>0</v>
      </c>
      <c r="AH427" s="269">
        <f t="shared" si="348"/>
        <v>0</v>
      </c>
      <c r="AI427" s="232">
        <f t="shared" si="349"/>
        <v>0</v>
      </c>
      <c r="AJ427" s="235">
        <f t="shared" si="350"/>
        <v>0</v>
      </c>
      <c r="AK427" s="269">
        <f t="shared" si="351"/>
        <v>0</v>
      </c>
      <c r="AL427" s="269">
        <f t="shared" si="317"/>
        <v>0</v>
      </c>
      <c r="AM427" s="281" t="e">
        <f>IF(B427&gt;=mpfo,pos*vvm*Dados!$E$122*(ntudv-SUM(U$301:$U428))-SUM($AM$13:AM426),0)</f>
        <v>#DIV/0!</v>
      </c>
      <c r="AN427" s="269" t="e">
        <f t="shared" si="352"/>
        <v>#DIV/0!</v>
      </c>
      <c r="AO427" s="232" t="e">
        <f t="shared" si="353"/>
        <v>#DIV/0!</v>
      </c>
      <c r="AP427" s="242" t="e">
        <f t="shared" si="354"/>
        <v>#DIV/0!</v>
      </c>
      <c r="AQ427" s="235" t="e">
        <f>IF(AP427+SUM($AQ$12:AQ426)&gt;=0,0,-AP427-SUM($AQ$12:AQ426))</f>
        <v>#DIV/0!</v>
      </c>
      <c r="AR427" s="235">
        <f>IF(SUM($N$13:N426)&gt;=pmo,IF(SUM(N426:$N$501)&gt;(1-pmo),B427,0),0)</f>
        <v>0</v>
      </c>
      <c r="AS427" s="235" t="e">
        <f>IF((SUM($U$13:$U426)/ntudv)&gt;=pmv,IF((SUM($U426:$U$501)/ntudv)&gt;(1-pmv),B427,0),0)</f>
        <v>#DIV/0!</v>
      </c>
      <c r="AT427" s="237" t="e">
        <f>IF(MAX(mmo,mmv)=mmo,IF(B427=AR427,(SUM(N$13:$N426)-pmo)/((1-VLOOKUP(MAX(mmo,mmv)-1,$B$13:$O$501,14))+(VLOOKUP(MAX(mmo,mmv)-1,$B$13:$O$501,14)-pmo)),N426/((1-VLOOKUP(MAX(mmo,mmv)-1,$B$13:$O$501,14)+(VLOOKUP(MAX(mmo,mmv)-1,$B$13:$O$501,14)-pmo)))),N426/(1-VLOOKUP(MAX(mmo,mmv)-2,$B$13:$O$501,14)))</f>
        <v>#DIV/0!</v>
      </c>
      <c r="AU427" s="101" t="e">
        <f t="shared" si="318"/>
        <v>#DIV/0!</v>
      </c>
      <c r="AV427" s="287" t="e">
        <f t="shared" si="319"/>
        <v>#DIV/0!</v>
      </c>
      <c r="AW427" s="235" t="e">
        <f t="shared" si="355"/>
        <v>#DIV/0!</v>
      </c>
      <c r="AX427" s="281">
        <f>IF(B427&gt;mpfo,0,IF(B427=mpfo,(vld-teo*(1+tcfo-incc)^(MAX(mmo,mmv)-mbfo))*-1,IF(SUM($N$13:N426)&gt;=pmo,IF(($V426/ntudv)&gt;=pmv,IF(B427=MAX(mmo,mmv),-teo*(1+tcfo-incc)^(B427-mbfo),0),0),0)))</f>
        <v>0</v>
      </c>
      <c r="AY427" s="292" t="e">
        <f t="shared" si="320"/>
        <v>#DIV/0!</v>
      </c>
      <c r="AZ427" s="235" t="e">
        <f t="shared" si="356"/>
        <v>#DIV/0!</v>
      </c>
      <c r="BA427" s="269" t="e">
        <f t="shared" si="357"/>
        <v>#DIV/0!</v>
      </c>
      <c r="BB427" s="292" t="e">
        <f t="shared" si="358"/>
        <v>#DIV/0!</v>
      </c>
      <c r="BC427" s="238" t="e">
        <f>IF(SUM($BC$13:BC426)&gt;0,0,IF(BB427&gt;0,B427,0))</f>
        <v>#DIV/0!</v>
      </c>
      <c r="BD427" s="292" t="e">
        <f>IF(BB427+SUM($BD$12:BD426)&gt;=0,0,-BB427-SUM($BD$12:BD426))</f>
        <v>#DIV/0!</v>
      </c>
      <c r="BE427" s="235" t="e">
        <f>BB427+SUM($BD$12:BD427)</f>
        <v>#DIV/0!</v>
      </c>
      <c r="BF427" s="292" t="e">
        <f>-MIN(BE427:$BE$501)-SUM(BF$12:$BF426)</f>
        <v>#DIV/0!</v>
      </c>
      <c r="BG427" s="235" t="e">
        <f t="shared" si="323"/>
        <v>#DIV/0!</v>
      </c>
    </row>
    <row r="428" spans="2:59">
      <c r="B428" s="246">
        <v>415</v>
      </c>
      <c r="C428" s="241">
        <f t="shared" si="322"/>
        <v>55309</v>
      </c>
      <c r="D428" s="229">
        <f t="shared" si="324"/>
        <v>6</v>
      </c>
      <c r="E428" s="230" t="str">
        <f t="shared" si="325"/>
        <v>-</v>
      </c>
      <c r="F428" s="231">
        <f t="shared" si="326"/>
        <v>0</v>
      </c>
      <c r="G428" s="231">
        <f t="shared" si="327"/>
        <v>0</v>
      </c>
      <c r="H428" s="231">
        <f t="shared" si="328"/>
        <v>0</v>
      </c>
      <c r="I428" s="268">
        <f t="shared" si="313"/>
        <v>0</v>
      </c>
      <c r="J428" s="269">
        <f t="shared" si="329"/>
        <v>0</v>
      </c>
      <c r="K428" s="269">
        <f t="shared" si="330"/>
        <v>0</v>
      </c>
      <c r="L428" s="269">
        <f t="shared" si="314"/>
        <v>0</v>
      </c>
      <c r="M428" s="269">
        <f t="shared" si="315"/>
        <v>0</v>
      </c>
      <c r="N428" s="233">
        <f>VLOOKUP(B428,Dados!$L$86:$P$90,5)</f>
        <v>0</v>
      </c>
      <c r="O428" s="270">
        <f t="shared" si="331"/>
        <v>0.99999999999999989</v>
      </c>
      <c r="P428" s="269">
        <f t="shared" si="332"/>
        <v>0</v>
      </c>
      <c r="Q428" s="269" t="e">
        <f t="shared" si="333"/>
        <v>#DIV/0!</v>
      </c>
      <c r="R428" s="269">
        <f t="shared" si="334"/>
        <v>0</v>
      </c>
      <c r="S428" s="269" t="e">
        <f t="shared" si="335"/>
        <v>#DIV/0!</v>
      </c>
      <c r="T428" s="269" t="e">
        <f t="shared" si="321"/>
        <v>#DIV/0!</v>
      </c>
      <c r="U428" s="234">
        <f t="shared" si="336"/>
        <v>0</v>
      </c>
      <c r="V428" s="232" t="e">
        <f t="shared" si="337"/>
        <v>#DIV/0!</v>
      </c>
      <c r="W428" s="269" t="e">
        <f t="shared" si="338"/>
        <v>#DIV/0!</v>
      </c>
      <c r="X428" s="235">
        <f t="shared" si="316"/>
        <v>0</v>
      </c>
      <c r="Y428" s="236">
        <f t="shared" si="339"/>
        <v>5</v>
      </c>
      <c r="Z428" s="236" t="e">
        <f t="shared" si="340"/>
        <v>#DIV/0!</v>
      </c>
      <c r="AA428" s="236">
        <f t="shared" si="341"/>
        <v>3</v>
      </c>
      <c r="AB428" s="236" t="e">
        <f t="shared" si="342"/>
        <v>#DIV/0!</v>
      </c>
      <c r="AC428" s="235">
        <f t="shared" si="343"/>
        <v>0</v>
      </c>
      <c r="AD428" s="235">
        <f t="shared" si="344"/>
        <v>0</v>
      </c>
      <c r="AE428" s="279">
        <f t="shared" si="345"/>
        <v>0</v>
      </c>
      <c r="AF428" s="232">
        <f t="shared" si="346"/>
        <v>1</v>
      </c>
      <c r="AG428" s="235">
        <f t="shared" si="347"/>
        <v>0</v>
      </c>
      <c r="AH428" s="269">
        <f t="shared" si="348"/>
        <v>0</v>
      </c>
      <c r="AI428" s="232">
        <f t="shared" si="349"/>
        <v>0</v>
      </c>
      <c r="AJ428" s="235">
        <f t="shared" si="350"/>
        <v>0</v>
      </c>
      <c r="AK428" s="269">
        <f t="shared" si="351"/>
        <v>0</v>
      </c>
      <c r="AL428" s="269">
        <f t="shared" si="317"/>
        <v>0</v>
      </c>
      <c r="AM428" s="281" t="e">
        <f>IF(B428&gt;=mpfo,pos*vvm*Dados!$E$122*(ntudv-SUM(U$301:$U429))-SUM($AM$13:AM427),0)</f>
        <v>#DIV/0!</v>
      </c>
      <c r="AN428" s="269" t="e">
        <f t="shared" si="352"/>
        <v>#DIV/0!</v>
      </c>
      <c r="AO428" s="232" t="e">
        <f t="shared" si="353"/>
        <v>#DIV/0!</v>
      </c>
      <c r="AP428" s="242" t="e">
        <f t="shared" si="354"/>
        <v>#DIV/0!</v>
      </c>
      <c r="AQ428" s="235" t="e">
        <f>IF(AP428+SUM($AQ$12:AQ427)&gt;=0,0,-AP428-SUM($AQ$12:AQ427))</f>
        <v>#DIV/0!</v>
      </c>
      <c r="AR428" s="235">
        <f>IF(SUM($N$13:N427)&gt;=pmo,IF(SUM(N427:$N$501)&gt;(1-pmo),B428,0),0)</f>
        <v>0</v>
      </c>
      <c r="AS428" s="235" t="e">
        <f>IF((SUM($U$13:$U427)/ntudv)&gt;=pmv,IF((SUM($U427:$U$501)/ntudv)&gt;(1-pmv),B428,0),0)</f>
        <v>#DIV/0!</v>
      </c>
      <c r="AT428" s="237" t="e">
        <f>IF(MAX(mmo,mmv)=mmo,IF(B428=AR428,(SUM(N$13:$N427)-pmo)/((1-VLOOKUP(MAX(mmo,mmv)-1,$B$13:$O$501,14))+(VLOOKUP(MAX(mmo,mmv)-1,$B$13:$O$501,14)-pmo)),N427/((1-VLOOKUP(MAX(mmo,mmv)-1,$B$13:$O$501,14)+(VLOOKUP(MAX(mmo,mmv)-1,$B$13:$O$501,14)-pmo)))),N427/(1-VLOOKUP(MAX(mmo,mmv)-2,$B$13:$O$501,14)))</f>
        <v>#DIV/0!</v>
      </c>
      <c r="AU428" s="101" t="e">
        <f t="shared" si="318"/>
        <v>#DIV/0!</v>
      </c>
      <c r="AV428" s="287" t="e">
        <f t="shared" si="319"/>
        <v>#DIV/0!</v>
      </c>
      <c r="AW428" s="235" t="e">
        <f t="shared" si="355"/>
        <v>#DIV/0!</v>
      </c>
      <c r="AX428" s="281">
        <f>IF(B428&gt;mpfo,0,IF(B428=mpfo,(vld-teo*(1+tcfo-incc)^(MAX(mmo,mmv)-mbfo))*-1,IF(SUM($N$13:N427)&gt;=pmo,IF(($V427/ntudv)&gt;=pmv,IF(B428=MAX(mmo,mmv),-teo*(1+tcfo-incc)^(B428-mbfo),0),0),0)))</f>
        <v>0</v>
      </c>
      <c r="AY428" s="292" t="e">
        <f t="shared" si="320"/>
        <v>#DIV/0!</v>
      </c>
      <c r="AZ428" s="235" t="e">
        <f t="shared" si="356"/>
        <v>#DIV/0!</v>
      </c>
      <c r="BA428" s="269" t="e">
        <f t="shared" si="357"/>
        <v>#DIV/0!</v>
      </c>
      <c r="BB428" s="292" t="e">
        <f t="shared" si="358"/>
        <v>#DIV/0!</v>
      </c>
      <c r="BC428" s="238" t="e">
        <f>IF(SUM($BC$13:BC427)&gt;0,0,IF(BB428&gt;0,B428,0))</f>
        <v>#DIV/0!</v>
      </c>
      <c r="BD428" s="292" t="e">
        <f>IF(BB428+SUM($BD$12:BD427)&gt;=0,0,-BB428-SUM($BD$12:BD427))</f>
        <v>#DIV/0!</v>
      </c>
      <c r="BE428" s="235" t="e">
        <f>BB428+SUM($BD$12:BD428)</f>
        <v>#DIV/0!</v>
      </c>
      <c r="BF428" s="292" t="e">
        <f>-MIN(BE428:$BE$501)-SUM(BF$12:$BF427)</f>
        <v>#DIV/0!</v>
      </c>
      <c r="BG428" s="235" t="e">
        <f t="shared" si="323"/>
        <v>#DIV/0!</v>
      </c>
    </row>
    <row r="429" spans="2:59">
      <c r="B429" s="120">
        <v>416</v>
      </c>
      <c r="C429" s="241">
        <f t="shared" si="322"/>
        <v>55339</v>
      </c>
      <c r="D429" s="229">
        <f t="shared" si="324"/>
        <v>7</v>
      </c>
      <c r="E429" s="230" t="str">
        <f t="shared" si="325"/>
        <v>-</v>
      </c>
      <c r="F429" s="231">
        <f t="shared" si="326"/>
        <v>0</v>
      </c>
      <c r="G429" s="231">
        <f t="shared" si="327"/>
        <v>0</v>
      </c>
      <c r="H429" s="231">
        <f t="shared" si="328"/>
        <v>0</v>
      </c>
      <c r="I429" s="268">
        <f t="shared" si="313"/>
        <v>0</v>
      </c>
      <c r="J429" s="269">
        <f t="shared" si="329"/>
        <v>0</v>
      </c>
      <c r="K429" s="269">
        <f t="shared" si="330"/>
        <v>0</v>
      </c>
      <c r="L429" s="269">
        <f t="shared" si="314"/>
        <v>0</v>
      </c>
      <c r="M429" s="269">
        <f t="shared" si="315"/>
        <v>0</v>
      </c>
      <c r="N429" s="233">
        <f>VLOOKUP(B429,Dados!$L$86:$P$90,5)</f>
        <v>0</v>
      </c>
      <c r="O429" s="270">
        <f t="shared" si="331"/>
        <v>0.99999999999999989</v>
      </c>
      <c r="P429" s="269">
        <f t="shared" si="332"/>
        <v>0</v>
      </c>
      <c r="Q429" s="269" t="e">
        <f t="shared" si="333"/>
        <v>#DIV/0!</v>
      </c>
      <c r="R429" s="269">
        <f t="shared" si="334"/>
        <v>0</v>
      </c>
      <c r="S429" s="269" t="e">
        <f t="shared" si="335"/>
        <v>#DIV/0!</v>
      </c>
      <c r="T429" s="269" t="e">
        <f t="shared" si="321"/>
        <v>#DIV/0!</v>
      </c>
      <c r="U429" s="234">
        <f t="shared" si="336"/>
        <v>0</v>
      </c>
      <c r="V429" s="232" t="e">
        <f t="shared" si="337"/>
        <v>#DIV/0!</v>
      </c>
      <c r="W429" s="269" t="e">
        <f t="shared" si="338"/>
        <v>#DIV/0!</v>
      </c>
      <c r="X429" s="235">
        <f t="shared" si="316"/>
        <v>0</v>
      </c>
      <c r="Y429" s="236">
        <f t="shared" si="339"/>
        <v>5</v>
      </c>
      <c r="Z429" s="236" t="e">
        <f t="shared" si="340"/>
        <v>#DIV/0!</v>
      </c>
      <c r="AA429" s="236">
        <f t="shared" si="341"/>
        <v>3</v>
      </c>
      <c r="AB429" s="236" t="e">
        <f t="shared" si="342"/>
        <v>#DIV/0!</v>
      </c>
      <c r="AC429" s="235">
        <f t="shared" si="343"/>
        <v>0</v>
      </c>
      <c r="AD429" s="235">
        <f t="shared" si="344"/>
        <v>0</v>
      </c>
      <c r="AE429" s="279">
        <f t="shared" si="345"/>
        <v>0</v>
      </c>
      <c r="AF429" s="232">
        <f t="shared" si="346"/>
        <v>0</v>
      </c>
      <c r="AG429" s="235">
        <f t="shared" si="347"/>
        <v>0</v>
      </c>
      <c r="AH429" s="269">
        <f t="shared" si="348"/>
        <v>0</v>
      </c>
      <c r="AI429" s="232">
        <f t="shared" si="349"/>
        <v>0</v>
      </c>
      <c r="AJ429" s="235">
        <f t="shared" si="350"/>
        <v>0</v>
      </c>
      <c r="AK429" s="269">
        <f t="shared" si="351"/>
        <v>0</v>
      </c>
      <c r="AL429" s="269">
        <f t="shared" si="317"/>
        <v>0</v>
      </c>
      <c r="AM429" s="281" t="e">
        <f>IF(B429&gt;=mpfo,pos*vvm*Dados!$E$122*(ntudv-SUM(U$301:$U430))-SUM($AM$13:AM428),0)</f>
        <v>#DIV/0!</v>
      </c>
      <c r="AN429" s="269" t="e">
        <f t="shared" si="352"/>
        <v>#DIV/0!</v>
      </c>
      <c r="AO429" s="232" t="e">
        <f t="shared" si="353"/>
        <v>#DIV/0!</v>
      </c>
      <c r="AP429" s="242" t="e">
        <f t="shared" si="354"/>
        <v>#DIV/0!</v>
      </c>
      <c r="AQ429" s="235" t="e">
        <f>IF(AP429+SUM($AQ$12:AQ428)&gt;=0,0,-AP429-SUM($AQ$12:AQ428))</f>
        <v>#DIV/0!</v>
      </c>
      <c r="AR429" s="235">
        <f>IF(SUM($N$13:N428)&gt;=pmo,IF(SUM(N428:$N$501)&gt;(1-pmo),B429,0),0)</f>
        <v>0</v>
      </c>
      <c r="AS429" s="235" t="e">
        <f>IF((SUM($U$13:$U428)/ntudv)&gt;=pmv,IF((SUM($U428:$U$501)/ntudv)&gt;(1-pmv),B429,0),0)</f>
        <v>#DIV/0!</v>
      </c>
      <c r="AT429" s="237" t="e">
        <f>IF(MAX(mmo,mmv)=mmo,IF(B429=AR429,(SUM(N$13:$N428)-pmo)/((1-VLOOKUP(MAX(mmo,mmv)-1,$B$13:$O$501,14))+(VLOOKUP(MAX(mmo,mmv)-1,$B$13:$O$501,14)-pmo)),N428/((1-VLOOKUP(MAX(mmo,mmv)-1,$B$13:$O$501,14)+(VLOOKUP(MAX(mmo,mmv)-1,$B$13:$O$501,14)-pmo)))),N428/(1-VLOOKUP(MAX(mmo,mmv)-2,$B$13:$O$501,14)))</f>
        <v>#DIV/0!</v>
      </c>
      <c r="AU429" s="101" t="e">
        <f t="shared" si="318"/>
        <v>#DIV/0!</v>
      </c>
      <c r="AV429" s="287" t="e">
        <f t="shared" si="319"/>
        <v>#DIV/0!</v>
      </c>
      <c r="AW429" s="235" t="e">
        <f t="shared" si="355"/>
        <v>#DIV/0!</v>
      </c>
      <c r="AX429" s="281">
        <f>IF(B429&gt;mpfo,0,IF(B429=mpfo,(vld-teo*(1+tcfo-incc)^(MAX(mmo,mmv)-mbfo))*-1,IF(SUM($N$13:N428)&gt;=pmo,IF(($V428/ntudv)&gt;=pmv,IF(B429=MAX(mmo,mmv),-teo*(1+tcfo-incc)^(B429-mbfo),0),0),0)))</f>
        <v>0</v>
      </c>
      <c r="AY429" s="292" t="e">
        <f t="shared" si="320"/>
        <v>#DIV/0!</v>
      </c>
      <c r="AZ429" s="235" t="e">
        <f t="shared" si="356"/>
        <v>#DIV/0!</v>
      </c>
      <c r="BA429" s="269" t="e">
        <f t="shared" si="357"/>
        <v>#DIV/0!</v>
      </c>
      <c r="BB429" s="292" t="e">
        <f t="shared" si="358"/>
        <v>#DIV/0!</v>
      </c>
      <c r="BC429" s="238" t="e">
        <f>IF(SUM($BC$13:BC428)&gt;0,0,IF(BB429&gt;0,B429,0))</f>
        <v>#DIV/0!</v>
      </c>
      <c r="BD429" s="292" t="e">
        <f>IF(BB429+SUM($BD$12:BD428)&gt;=0,0,-BB429-SUM($BD$12:BD428))</f>
        <v>#DIV/0!</v>
      </c>
      <c r="BE429" s="235" t="e">
        <f>BB429+SUM($BD$12:BD429)</f>
        <v>#DIV/0!</v>
      </c>
      <c r="BF429" s="292" t="e">
        <f>-MIN(BE429:$BE$501)-SUM(BF$12:$BF428)</f>
        <v>#DIV/0!</v>
      </c>
      <c r="BG429" s="235" t="e">
        <f t="shared" si="323"/>
        <v>#DIV/0!</v>
      </c>
    </row>
    <row r="430" spans="2:59">
      <c r="B430" s="246">
        <v>417</v>
      </c>
      <c r="C430" s="241">
        <f t="shared" si="322"/>
        <v>55370</v>
      </c>
      <c r="D430" s="229">
        <f t="shared" si="324"/>
        <v>8</v>
      </c>
      <c r="E430" s="230" t="str">
        <f t="shared" si="325"/>
        <v>-</v>
      </c>
      <c r="F430" s="231">
        <f t="shared" si="326"/>
        <v>0</v>
      </c>
      <c r="G430" s="231">
        <f t="shared" si="327"/>
        <v>0</v>
      </c>
      <c r="H430" s="231">
        <f t="shared" si="328"/>
        <v>0</v>
      </c>
      <c r="I430" s="268">
        <f t="shared" si="313"/>
        <v>0</v>
      </c>
      <c r="J430" s="269">
        <f t="shared" si="329"/>
        <v>0</v>
      </c>
      <c r="K430" s="269">
        <f t="shared" si="330"/>
        <v>0</v>
      </c>
      <c r="L430" s="269">
        <f t="shared" si="314"/>
        <v>0</v>
      </c>
      <c r="M430" s="269">
        <f t="shared" si="315"/>
        <v>0</v>
      </c>
      <c r="N430" s="233">
        <f>VLOOKUP(B430,Dados!$L$86:$P$90,5)</f>
        <v>0</v>
      </c>
      <c r="O430" s="270">
        <f t="shared" si="331"/>
        <v>0.99999999999999989</v>
      </c>
      <c r="P430" s="269">
        <f t="shared" si="332"/>
        <v>0</v>
      </c>
      <c r="Q430" s="269" t="e">
        <f t="shared" si="333"/>
        <v>#DIV/0!</v>
      </c>
      <c r="R430" s="269">
        <f t="shared" si="334"/>
        <v>0</v>
      </c>
      <c r="S430" s="269" t="e">
        <f t="shared" si="335"/>
        <v>#DIV/0!</v>
      </c>
      <c r="T430" s="269" t="e">
        <f t="shared" si="321"/>
        <v>#DIV/0!</v>
      </c>
      <c r="U430" s="234">
        <f t="shared" si="336"/>
        <v>0</v>
      </c>
      <c r="V430" s="232" t="e">
        <f t="shared" si="337"/>
        <v>#DIV/0!</v>
      </c>
      <c r="W430" s="269" t="e">
        <f t="shared" si="338"/>
        <v>#DIV/0!</v>
      </c>
      <c r="X430" s="235">
        <f t="shared" si="316"/>
        <v>0</v>
      </c>
      <c r="Y430" s="236">
        <f t="shared" si="339"/>
        <v>5</v>
      </c>
      <c r="Z430" s="236" t="e">
        <f t="shared" si="340"/>
        <v>#DIV/0!</v>
      </c>
      <c r="AA430" s="236">
        <f t="shared" si="341"/>
        <v>3</v>
      </c>
      <c r="AB430" s="236" t="e">
        <f t="shared" si="342"/>
        <v>#DIV/0!</v>
      </c>
      <c r="AC430" s="235">
        <f t="shared" si="343"/>
        <v>0</v>
      </c>
      <c r="AD430" s="235">
        <f t="shared" si="344"/>
        <v>0</v>
      </c>
      <c r="AE430" s="279">
        <f t="shared" si="345"/>
        <v>0</v>
      </c>
      <c r="AF430" s="232">
        <f t="shared" si="346"/>
        <v>0</v>
      </c>
      <c r="AG430" s="235">
        <f t="shared" si="347"/>
        <v>0</v>
      </c>
      <c r="AH430" s="269">
        <f t="shared" si="348"/>
        <v>0</v>
      </c>
      <c r="AI430" s="232">
        <f t="shared" si="349"/>
        <v>0</v>
      </c>
      <c r="AJ430" s="235">
        <f t="shared" si="350"/>
        <v>0</v>
      </c>
      <c r="AK430" s="269">
        <f t="shared" si="351"/>
        <v>0</v>
      </c>
      <c r="AL430" s="269">
        <f t="shared" si="317"/>
        <v>0</v>
      </c>
      <c r="AM430" s="281" t="e">
        <f>IF(B430&gt;=mpfo,pos*vvm*Dados!$E$122*(ntudv-SUM(U$301:$U431))-SUM($AM$13:AM429),0)</f>
        <v>#DIV/0!</v>
      </c>
      <c r="AN430" s="269" t="e">
        <f t="shared" si="352"/>
        <v>#DIV/0!</v>
      </c>
      <c r="AO430" s="232" t="e">
        <f t="shared" si="353"/>
        <v>#DIV/0!</v>
      </c>
      <c r="AP430" s="242" t="e">
        <f t="shared" si="354"/>
        <v>#DIV/0!</v>
      </c>
      <c r="AQ430" s="235" t="e">
        <f>IF(AP430+SUM($AQ$12:AQ429)&gt;=0,0,-AP430-SUM($AQ$12:AQ429))</f>
        <v>#DIV/0!</v>
      </c>
      <c r="AR430" s="235">
        <f>IF(SUM($N$13:N429)&gt;=pmo,IF(SUM(N429:$N$501)&gt;(1-pmo),B430,0),0)</f>
        <v>0</v>
      </c>
      <c r="AS430" s="235" t="e">
        <f>IF((SUM($U$13:$U429)/ntudv)&gt;=pmv,IF((SUM($U429:$U$501)/ntudv)&gt;(1-pmv),B430,0),0)</f>
        <v>#DIV/0!</v>
      </c>
      <c r="AT430" s="237" t="e">
        <f>IF(MAX(mmo,mmv)=mmo,IF(B430=AR430,(SUM(N$13:$N429)-pmo)/((1-VLOOKUP(MAX(mmo,mmv)-1,$B$13:$O$501,14))+(VLOOKUP(MAX(mmo,mmv)-1,$B$13:$O$501,14)-pmo)),N429/((1-VLOOKUP(MAX(mmo,mmv)-1,$B$13:$O$501,14)+(VLOOKUP(MAX(mmo,mmv)-1,$B$13:$O$501,14)-pmo)))),N429/(1-VLOOKUP(MAX(mmo,mmv)-2,$B$13:$O$501,14)))</f>
        <v>#DIV/0!</v>
      </c>
      <c r="AU430" s="101" t="e">
        <f t="shared" si="318"/>
        <v>#DIV/0!</v>
      </c>
      <c r="AV430" s="287" t="e">
        <f t="shared" si="319"/>
        <v>#DIV/0!</v>
      </c>
      <c r="AW430" s="235" t="e">
        <f t="shared" si="355"/>
        <v>#DIV/0!</v>
      </c>
      <c r="AX430" s="281">
        <f>IF(B430&gt;mpfo,0,IF(B430=mpfo,(vld-teo*(1+tcfo-incc)^(MAX(mmo,mmv)-mbfo))*-1,IF(SUM($N$13:N429)&gt;=pmo,IF(($V429/ntudv)&gt;=pmv,IF(B430=MAX(mmo,mmv),-teo*(1+tcfo-incc)^(B430-mbfo),0),0),0)))</f>
        <v>0</v>
      </c>
      <c r="AY430" s="292" t="e">
        <f t="shared" si="320"/>
        <v>#DIV/0!</v>
      </c>
      <c r="AZ430" s="235" t="e">
        <f t="shared" si="356"/>
        <v>#DIV/0!</v>
      </c>
      <c r="BA430" s="269" t="e">
        <f t="shared" si="357"/>
        <v>#DIV/0!</v>
      </c>
      <c r="BB430" s="292" t="e">
        <f t="shared" si="358"/>
        <v>#DIV/0!</v>
      </c>
      <c r="BC430" s="238" t="e">
        <f>IF(SUM($BC$13:BC429)&gt;0,0,IF(BB430&gt;0,B430,0))</f>
        <v>#DIV/0!</v>
      </c>
      <c r="BD430" s="292" t="e">
        <f>IF(BB430+SUM($BD$12:BD429)&gt;=0,0,-BB430-SUM($BD$12:BD429))</f>
        <v>#DIV/0!</v>
      </c>
      <c r="BE430" s="235" t="e">
        <f>BB430+SUM($BD$12:BD430)</f>
        <v>#DIV/0!</v>
      </c>
      <c r="BF430" s="292" t="e">
        <f>-MIN(BE430:$BE$501)-SUM(BF$12:$BF429)</f>
        <v>#DIV/0!</v>
      </c>
      <c r="BG430" s="235" t="e">
        <f t="shared" si="323"/>
        <v>#DIV/0!</v>
      </c>
    </row>
    <row r="431" spans="2:59">
      <c r="B431" s="120">
        <v>418</v>
      </c>
      <c r="C431" s="241">
        <f t="shared" si="322"/>
        <v>55401</v>
      </c>
      <c r="D431" s="229">
        <f t="shared" si="324"/>
        <v>9</v>
      </c>
      <c r="E431" s="230" t="str">
        <f t="shared" si="325"/>
        <v>-</v>
      </c>
      <c r="F431" s="231">
        <f t="shared" si="326"/>
        <v>0</v>
      </c>
      <c r="G431" s="231">
        <f t="shared" si="327"/>
        <v>0</v>
      </c>
      <c r="H431" s="231">
        <f t="shared" si="328"/>
        <v>0</v>
      </c>
      <c r="I431" s="268">
        <f t="shared" si="313"/>
        <v>0</v>
      </c>
      <c r="J431" s="269">
        <f t="shared" si="329"/>
        <v>0</v>
      </c>
      <c r="K431" s="269">
        <f t="shared" si="330"/>
        <v>0</v>
      </c>
      <c r="L431" s="269">
        <f t="shared" si="314"/>
        <v>0</v>
      </c>
      <c r="M431" s="269">
        <f t="shared" si="315"/>
        <v>0</v>
      </c>
      <c r="N431" s="233">
        <f>VLOOKUP(B431,Dados!$L$86:$P$90,5)</f>
        <v>0</v>
      </c>
      <c r="O431" s="270">
        <f t="shared" si="331"/>
        <v>0.99999999999999989</v>
      </c>
      <c r="P431" s="269">
        <f t="shared" si="332"/>
        <v>0</v>
      </c>
      <c r="Q431" s="269" t="e">
        <f t="shared" si="333"/>
        <v>#DIV/0!</v>
      </c>
      <c r="R431" s="269">
        <f t="shared" si="334"/>
        <v>0</v>
      </c>
      <c r="S431" s="269" t="e">
        <f t="shared" si="335"/>
        <v>#DIV/0!</v>
      </c>
      <c r="T431" s="269" t="e">
        <f t="shared" si="321"/>
        <v>#DIV/0!</v>
      </c>
      <c r="U431" s="234">
        <f t="shared" si="336"/>
        <v>0</v>
      </c>
      <c r="V431" s="232" t="e">
        <f t="shared" si="337"/>
        <v>#DIV/0!</v>
      </c>
      <c r="W431" s="269" t="e">
        <f t="shared" si="338"/>
        <v>#DIV/0!</v>
      </c>
      <c r="X431" s="235">
        <f t="shared" si="316"/>
        <v>0</v>
      </c>
      <c r="Y431" s="236">
        <f t="shared" si="339"/>
        <v>5</v>
      </c>
      <c r="Z431" s="236" t="e">
        <f t="shared" si="340"/>
        <v>#DIV/0!</v>
      </c>
      <c r="AA431" s="236">
        <f t="shared" si="341"/>
        <v>3</v>
      </c>
      <c r="AB431" s="236" t="e">
        <f t="shared" si="342"/>
        <v>#DIV/0!</v>
      </c>
      <c r="AC431" s="235">
        <f t="shared" si="343"/>
        <v>0</v>
      </c>
      <c r="AD431" s="235">
        <f t="shared" si="344"/>
        <v>0</v>
      </c>
      <c r="AE431" s="279">
        <f t="shared" si="345"/>
        <v>0</v>
      </c>
      <c r="AF431" s="232">
        <f t="shared" si="346"/>
        <v>0</v>
      </c>
      <c r="AG431" s="235">
        <f t="shared" si="347"/>
        <v>0</v>
      </c>
      <c r="AH431" s="269">
        <f t="shared" si="348"/>
        <v>0</v>
      </c>
      <c r="AI431" s="232">
        <f t="shared" si="349"/>
        <v>0</v>
      </c>
      <c r="AJ431" s="235">
        <f t="shared" si="350"/>
        <v>0</v>
      </c>
      <c r="AK431" s="269">
        <f t="shared" si="351"/>
        <v>0</v>
      </c>
      <c r="AL431" s="269">
        <f t="shared" si="317"/>
        <v>0</v>
      </c>
      <c r="AM431" s="281" t="e">
        <f>IF(B431&gt;=mpfo,pos*vvm*Dados!$E$122*(ntudv-SUM(U$301:$U432))-SUM($AM$13:AM430),0)</f>
        <v>#DIV/0!</v>
      </c>
      <c r="AN431" s="269" t="e">
        <f t="shared" si="352"/>
        <v>#DIV/0!</v>
      </c>
      <c r="AO431" s="232" t="e">
        <f t="shared" si="353"/>
        <v>#DIV/0!</v>
      </c>
      <c r="AP431" s="242" t="e">
        <f t="shared" si="354"/>
        <v>#DIV/0!</v>
      </c>
      <c r="AQ431" s="235" t="e">
        <f>IF(AP431+SUM($AQ$12:AQ430)&gt;=0,0,-AP431-SUM($AQ$12:AQ430))</f>
        <v>#DIV/0!</v>
      </c>
      <c r="AR431" s="235">
        <f>IF(SUM($N$13:N430)&gt;=pmo,IF(SUM(N430:$N$501)&gt;(1-pmo),B431,0),0)</f>
        <v>0</v>
      </c>
      <c r="AS431" s="235" t="e">
        <f>IF((SUM($U$13:$U430)/ntudv)&gt;=pmv,IF((SUM($U430:$U$501)/ntudv)&gt;(1-pmv),B431,0),0)</f>
        <v>#DIV/0!</v>
      </c>
      <c r="AT431" s="237" t="e">
        <f>IF(MAX(mmo,mmv)=mmo,IF(B431=AR431,(SUM(N$13:$N430)-pmo)/((1-VLOOKUP(MAX(mmo,mmv)-1,$B$13:$O$501,14))+(VLOOKUP(MAX(mmo,mmv)-1,$B$13:$O$501,14)-pmo)),N430/((1-VLOOKUP(MAX(mmo,mmv)-1,$B$13:$O$501,14)+(VLOOKUP(MAX(mmo,mmv)-1,$B$13:$O$501,14)-pmo)))),N430/(1-VLOOKUP(MAX(mmo,mmv)-2,$B$13:$O$501,14)))</f>
        <v>#DIV/0!</v>
      </c>
      <c r="AU431" s="101" t="e">
        <f t="shared" si="318"/>
        <v>#DIV/0!</v>
      </c>
      <c r="AV431" s="287" t="e">
        <f t="shared" si="319"/>
        <v>#DIV/0!</v>
      </c>
      <c r="AW431" s="235" t="e">
        <f t="shared" si="355"/>
        <v>#DIV/0!</v>
      </c>
      <c r="AX431" s="281">
        <f>IF(B431&gt;mpfo,0,IF(B431=mpfo,(vld-teo*(1+tcfo-incc)^(MAX(mmo,mmv)-mbfo))*-1,IF(SUM($N$13:N430)&gt;=pmo,IF(($V430/ntudv)&gt;=pmv,IF(B431=MAX(mmo,mmv),-teo*(1+tcfo-incc)^(B431-mbfo),0),0),0)))</f>
        <v>0</v>
      </c>
      <c r="AY431" s="292" t="e">
        <f t="shared" si="320"/>
        <v>#DIV/0!</v>
      </c>
      <c r="AZ431" s="235" t="e">
        <f t="shared" si="356"/>
        <v>#DIV/0!</v>
      </c>
      <c r="BA431" s="269" t="e">
        <f t="shared" si="357"/>
        <v>#DIV/0!</v>
      </c>
      <c r="BB431" s="292" t="e">
        <f t="shared" si="358"/>
        <v>#DIV/0!</v>
      </c>
      <c r="BC431" s="238" t="e">
        <f>IF(SUM($BC$13:BC430)&gt;0,0,IF(BB431&gt;0,B431,0))</f>
        <v>#DIV/0!</v>
      </c>
      <c r="BD431" s="292" t="e">
        <f>IF(BB431+SUM($BD$12:BD430)&gt;=0,0,-BB431-SUM($BD$12:BD430))</f>
        <v>#DIV/0!</v>
      </c>
      <c r="BE431" s="235" t="e">
        <f>BB431+SUM($BD$12:BD431)</f>
        <v>#DIV/0!</v>
      </c>
      <c r="BF431" s="292" t="e">
        <f>-MIN(BE431:$BE$501)-SUM(BF$12:$BF430)</f>
        <v>#DIV/0!</v>
      </c>
      <c r="BG431" s="235" t="e">
        <f t="shared" si="323"/>
        <v>#DIV/0!</v>
      </c>
    </row>
    <row r="432" spans="2:59">
      <c r="B432" s="246">
        <v>419</v>
      </c>
      <c r="C432" s="241">
        <f t="shared" si="322"/>
        <v>55431</v>
      </c>
      <c r="D432" s="229">
        <f t="shared" si="324"/>
        <v>10</v>
      </c>
      <c r="E432" s="230" t="str">
        <f t="shared" si="325"/>
        <v>-</v>
      </c>
      <c r="F432" s="231">
        <f t="shared" si="326"/>
        <v>0</v>
      </c>
      <c r="G432" s="231">
        <f t="shared" si="327"/>
        <v>0</v>
      </c>
      <c r="H432" s="231">
        <f t="shared" si="328"/>
        <v>0</v>
      </c>
      <c r="I432" s="268">
        <f t="shared" si="313"/>
        <v>0</v>
      </c>
      <c r="J432" s="269">
        <f t="shared" si="329"/>
        <v>0</v>
      </c>
      <c r="K432" s="269">
        <f t="shared" si="330"/>
        <v>0</v>
      </c>
      <c r="L432" s="269">
        <f t="shared" si="314"/>
        <v>0</v>
      </c>
      <c r="M432" s="269">
        <f t="shared" si="315"/>
        <v>0</v>
      </c>
      <c r="N432" s="233">
        <f>VLOOKUP(B432,Dados!$L$86:$P$90,5)</f>
        <v>0</v>
      </c>
      <c r="O432" s="270">
        <f t="shared" si="331"/>
        <v>0.99999999999999989</v>
      </c>
      <c r="P432" s="269">
        <f t="shared" si="332"/>
        <v>0</v>
      </c>
      <c r="Q432" s="269" t="e">
        <f t="shared" si="333"/>
        <v>#DIV/0!</v>
      </c>
      <c r="R432" s="269">
        <f t="shared" si="334"/>
        <v>0</v>
      </c>
      <c r="S432" s="269" t="e">
        <f t="shared" si="335"/>
        <v>#DIV/0!</v>
      </c>
      <c r="T432" s="269" t="e">
        <f t="shared" si="321"/>
        <v>#DIV/0!</v>
      </c>
      <c r="U432" s="234">
        <f t="shared" si="336"/>
        <v>0</v>
      </c>
      <c r="V432" s="232" t="e">
        <f t="shared" si="337"/>
        <v>#DIV/0!</v>
      </c>
      <c r="W432" s="269" t="e">
        <f t="shared" si="338"/>
        <v>#DIV/0!</v>
      </c>
      <c r="X432" s="235">
        <f t="shared" si="316"/>
        <v>0</v>
      </c>
      <c r="Y432" s="236">
        <f t="shared" si="339"/>
        <v>5</v>
      </c>
      <c r="Z432" s="236" t="e">
        <f t="shared" si="340"/>
        <v>#DIV/0!</v>
      </c>
      <c r="AA432" s="236">
        <f t="shared" si="341"/>
        <v>3</v>
      </c>
      <c r="AB432" s="236" t="e">
        <f t="shared" si="342"/>
        <v>#DIV/0!</v>
      </c>
      <c r="AC432" s="235">
        <f t="shared" si="343"/>
        <v>0</v>
      </c>
      <c r="AD432" s="235">
        <f t="shared" si="344"/>
        <v>0</v>
      </c>
      <c r="AE432" s="279">
        <f t="shared" si="345"/>
        <v>0</v>
      </c>
      <c r="AF432" s="232">
        <f t="shared" si="346"/>
        <v>0</v>
      </c>
      <c r="AG432" s="235">
        <f t="shared" si="347"/>
        <v>0</v>
      </c>
      <c r="AH432" s="269">
        <f t="shared" si="348"/>
        <v>0</v>
      </c>
      <c r="AI432" s="232">
        <f t="shared" si="349"/>
        <v>0</v>
      </c>
      <c r="AJ432" s="235">
        <f t="shared" si="350"/>
        <v>0</v>
      </c>
      <c r="AK432" s="269">
        <f t="shared" si="351"/>
        <v>0</v>
      </c>
      <c r="AL432" s="269">
        <f t="shared" si="317"/>
        <v>0</v>
      </c>
      <c r="AM432" s="281" t="e">
        <f>IF(B432&gt;=mpfo,pos*vvm*Dados!$E$122*(ntudv-SUM(U$301:$U433))-SUM($AM$13:AM431),0)</f>
        <v>#DIV/0!</v>
      </c>
      <c r="AN432" s="269" t="e">
        <f t="shared" si="352"/>
        <v>#DIV/0!</v>
      </c>
      <c r="AO432" s="232" t="e">
        <f t="shared" si="353"/>
        <v>#DIV/0!</v>
      </c>
      <c r="AP432" s="242" t="e">
        <f t="shared" si="354"/>
        <v>#DIV/0!</v>
      </c>
      <c r="AQ432" s="235" t="e">
        <f>IF(AP432+SUM($AQ$12:AQ431)&gt;=0,0,-AP432-SUM($AQ$12:AQ431))</f>
        <v>#DIV/0!</v>
      </c>
      <c r="AR432" s="235">
        <f>IF(SUM($N$13:N431)&gt;=pmo,IF(SUM(N431:$N$501)&gt;(1-pmo),B432,0),0)</f>
        <v>0</v>
      </c>
      <c r="AS432" s="235" t="e">
        <f>IF((SUM($U$13:$U431)/ntudv)&gt;=pmv,IF((SUM($U431:$U$501)/ntudv)&gt;(1-pmv),B432,0),0)</f>
        <v>#DIV/0!</v>
      </c>
      <c r="AT432" s="237" t="e">
        <f>IF(MAX(mmo,mmv)=mmo,IF(B432=AR432,(SUM(N$13:$N431)-pmo)/((1-VLOOKUP(MAX(mmo,mmv)-1,$B$13:$O$501,14))+(VLOOKUP(MAX(mmo,mmv)-1,$B$13:$O$501,14)-pmo)),N431/((1-VLOOKUP(MAX(mmo,mmv)-1,$B$13:$O$501,14)+(VLOOKUP(MAX(mmo,mmv)-1,$B$13:$O$501,14)-pmo)))),N431/(1-VLOOKUP(MAX(mmo,mmv)-2,$B$13:$O$501,14)))</f>
        <v>#DIV/0!</v>
      </c>
      <c r="AU432" s="101" t="e">
        <f t="shared" si="318"/>
        <v>#DIV/0!</v>
      </c>
      <c r="AV432" s="287" t="e">
        <f t="shared" si="319"/>
        <v>#DIV/0!</v>
      </c>
      <c r="AW432" s="235" t="e">
        <f t="shared" si="355"/>
        <v>#DIV/0!</v>
      </c>
      <c r="AX432" s="281">
        <f>IF(B432&gt;mpfo,0,IF(B432=mpfo,(vld-teo*(1+tcfo-incc)^(MAX(mmo,mmv)-mbfo))*-1,IF(SUM($N$13:N431)&gt;=pmo,IF(($V431/ntudv)&gt;=pmv,IF(B432=MAX(mmo,mmv),-teo*(1+tcfo-incc)^(B432-mbfo),0),0),0)))</f>
        <v>0</v>
      </c>
      <c r="AY432" s="292" t="e">
        <f t="shared" si="320"/>
        <v>#DIV/0!</v>
      </c>
      <c r="AZ432" s="235" t="e">
        <f t="shared" si="356"/>
        <v>#DIV/0!</v>
      </c>
      <c r="BA432" s="269" t="e">
        <f t="shared" si="357"/>
        <v>#DIV/0!</v>
      </c>
      <c r="BB432" s="292" t="e">
        <f t="shared" si="358"/>
        <v>#DIV/0!</v>
      </c>
      <c r="BC432" s="238" t="e">
        <f>IF(SUM($BC$13:BC431)&gt;0,0,IF(BB432&gt;0,B432,0))</f>
        <v>#DIV/0!</v>
      </c>
      <c r="BD432" s="292" t="e">
        <f>IF(BB432+SUM($BD$12:BD431)&gt;=0,0,-BB432-SUM($BD$12:BD431))</f>
        <v>#DIV/0!</v>
      </c>
      <c r="BE432" s="235" t="e">
        <f>BB432+SUM($BD$12:BD432)</f>
        <v>#DIV/0!</v>
      </c>
      <c r="BF432" s="292" t="e">
        <f>-MIN(BE432:$BE$501)-SUM(BF$12:$BF431)</f>
        <v>#DIV/0!</v>
      </c>
      <c r="BG432" s="235" t="e">
        <f t="shared" si="323"/>
        <v>#DIV/0!</v>
      </c>
    </row>
    <row r="433" spans="2:59">
      <c r="B433" s="120">
        <v>420</v>
      </c>
      <c r="C433" s="241">
        <f t="shared" si="322"/>
        <v>55462</v>
      </c>
      <c r="D433" s="229">
        <f t="shared" si="324"/>
        <v>11</v>
      </c>
      <c r="E433" s="230" t="str">
        <f t="shared" si="325"/>
        <v>-</v>
      </c>
      <c r="F433" s="231">
        <f t="shared" si="326"/>
        <v>0</v>
      </c>
      <c r="G433" s="231">
        <f t="shared" si="327"/>
        <v>0</v>
      </c>
      <c r="H433" s="231">
        <f t="shared" si="328"/>
        <v>0</v>
      </c>
      <c r="I433" s="268">
        <f t="shared" si="313"/>
        <v>0</v>
      </c>
      <c r="J433" s="269">
        <f t="shared" si="329"/>
        <v>0</v>
      </c>
      <c r="K433" s="269">
        <f t="shared" si="330"/>
        <v>0</v>
      </c>
      <c r="L433" s="269">
        <f t="shared" si="314"/>
        <v>0</v>
      </c>
      <c r="M433" s="269">
        <f t="shared" si="315"/>
        <v>0</v>
      </c>
      <c r="N433" s="233">
        <f>VLOOKUP(B433,Dados!$L$86:$P$90,5)</f>
        <v>0</v>
      </c>
      <c r="O433" s="270">
        <f t="shared" si="331"/>
        <v>0.99999999999999989</v>
      </c>
      <c r="P433" s="269">
        <f t="shared" si="332"/>
        <v>0</v>
      </c>
      <c r="Q433" s="269" t="e">
        <f t="shared" si="333"/>
        <v>#DIV/0!</v>
      </c>
      <c r="R433" s="269">
        <f t="shared" si="334"/>
        <v>0</v>
      </c>
      <c r="S433" s="269" t="e">
        <f t="shared" si="335"/>
        <v>#DIV/0!</v>
      </c>
      <c r="T433" s="269" t="e">
        <f t="shared" si="321"/>
        <v>#DIV/0!</v>
      </c>
      <c r="U433" s="234">
        <f t="shared" si="336"/>
        <v>0</v>
      </c>
      <c r="V433" s="232" t="e">
        <f t="shared" si="337"/>
        <v>#DIV/0!</v>
      </c>
      <c r="W433" s="269" t="e">
        <f t="shared" si="338"/>
        <v>#DIV/0!</v>
      </c>
      <c r="X433" s="235">
        <f t="shared" si="316"/>
        <v>0</v>
      </c>
      <c r="Y433" s="236">
        <f t="shared" si="339"/>
        <v>5</v>
      </c>
      <c r="Z433" s="236" t="e">
        <f t="shared" si="340"/>
        <v>#DIV/0!</v>
      </c>
      <c r="AA433" s="236">
        <f t="shared" si="341"/>
        <v>3</v>
      </c>
      <c r="AB433" s="236" t="e">
        <f t="shared" si="342"/>
        <v>#DIV/0!</v>
      </c>
      <c r="AC433" s="235">
        <f t="shared" si="343"/>
        <v>0</v>
      </c>
      <c r="AD433" s="235">
        <f t="shared" si="344"/>
        <v>0</v>
      </c>
      <c r="AE433" s="279">
        <f t="shared" si="345"/>
        <v>0</v>
      </c>
      <c r="AF433" s="232">
        <f t="shared" si="346"/>
        <v>0</v>
      </c>
      <c r="AG433" s="235">
        <f t="shared" si="347"/>
        <v>0</v>
      </c>
      <c r="AH433" s="269">
        <f t="shared" si="348"/>
        <v>0</v>
      </c>
      <c r="AI433" s="232">
        <f t="shared" si="349"/>
        <v>0</v>
      </c>
      <c r="AJ433" s="235">
        <f t="shared" si="350"/>
        <v>0</v>
      </c>
      <c r="AK433" s="269">
        <f t="shared" si="351"/>
        <v>0</v>
      </c>
      <c r="AL433" s="269">
        <f t="shared" si="317"/>
        <v>0</v>
      </c>
      <c r="AM433" s="281" t="e">
        <f>IF(B433&gt;=mpfo,pos*vvm*Dados!$E$122*(ntudv-SUM(U$301:$U434))-SUM($AM$13:AM432),0)</f>
        <v>#DIV/0!</v>
      </c>
      <c r="AN433" s="269" t="e">
        <f t="shared" si="352"/>
        <v>#DIV/0!</v>
      </c>
      <c r="AO433" s="232" t="e">
        <f t="shared" si="353"/>
        <v>#DIV/0!</v>
      </c>
      <c r="AP433" s="242" t="e">
        <f t="shared" si="354"/>
        <v>#DIV/0!</v>
      </c>
      <c r="AQ433" s="235" t="e">
        <f>IF(AP433+SUM($AQ$12:AQ432)&gt;=0,0,-AP433-SUM($AQ$12:AQ432))</f>
        <v>#DIV/0!</v>
      </c>
      <c r="AR433" s="235">
        <f>IF(SUM($N$13:N432)&gt;=pmo,IF(SUM(N432:$N$501)&gt;(1-pmo),B433,0),0)</f>
        <v>0</v>
      </c>
      <c r="AS433" s="235" t="e">
        <f>IF((SUM($U$13:$U432)/ntudv)&gt;=pmv,IF((SUM($U432:$U$501)/ntudv)&gt;(1-pmv),B433,0),0)</f>
        <v>#DIV/0!</v>
      </c>
      <c r="AT433" s="237" t="e">
        <f>IF(MAX(mmo,mmv)=mmo,IF(B433=AR433,(SUM(N$13:$N432)-pmo)/((1-VLOOKUP(MAX(mmo,mmv)-1,$B$13:$O$501,14))+(VLOOKUP(MAX(mmo,mmv)-1,$B$13:$O$501,14)-pmo)),N432/((1-VLOOKUP(MAX(mmo,mmv)-1,$B$13:$O$501,14)+(VLOOKUP(MAX(mmo,mmv)-1,$B$13:$O$501,14)-pmo)))),N432/(1-VLOOKUP(MAX(mmo,mmv)-2,$B$13:$O$501,14)))</f>
        <v>#DIV/0!</v>
      </c>
      <c r="AU433" s="101" t="e">
        <f t="shared" si="318"/>
        <v>#DIV/0!</v>
      </c>
      <c r="AV433" s="287" t="e">
        <f t="shared" si="319"/>
        <v>#DIV/0!</v>
      </c>
      <c r="AW433" s="235" t="e">
        <f t="shared" si="355"/>
        <v>#DIV/0!</v>
      </c>
      <c r="AX433" s="281">
        <f>IF(B433&gt;mpfo,0,IF(B433=mpfo,(vld-teo*(1+tcfo-incc)^(MAX(mmo,mmv)-mbfo))*-1,IF(SUM($N$13:N432)&gt;=pmo,IF(($V432/ntudv)&gt;=pmv,IF(B433=MAX(mmo,mmv),-teo*(1+tcfo-incc)^(B433-mbfo),0),0),0)))</f>
        <v>0</v>
      </c>
      <c r="AY433" s="292" t="e">
        <f t="shared" si="320"/>
        <v>#DIV/0!</v>
      </c>
      <c r="AZ433" s="235" t="e">
        <f t="shared" si="356"/>
        <v>#DIV/0!</v>
      </c>
      <c r="BA433" s="269" t="e">
        <f t="shared" si="357"/>
        <v>#DIV/0!</v>
      </c>
      <c r="BB433" s="292" t="e">
        <f t="shared" si="358"/>
        <v>#DIV/0!</v>
      </c>
      <c r="BC433" s="238" t="e">
        <f>IF(SUM($BC$13:BC432)&gt;0,0,IF(BB433&gt;0,B433,0))</f>
        <v>#DIV/0!</v>
      </c>
      <c r="BD433" s="292" t="e">
        <f>IF(BB433+SUM($BD$12:BD432)&gt;=0,0,-BB433-SUM($BD$12:BD432))</f>
        <v>#DIV/0!</v>
      </c>
      <c r="BE433" s="235" t="e">
        <f>BB433+SUM($BD$12:BD433)</f>
        <v>#DIV/0!</v>
      </c>
      <c r="BF433" s="292" t="e">
        <f>-MIN(BE433:$BE$501)-SUM(BF$12:$BF432)</f>
        <v>#DIV/0!</v>
      </c>
      <c r="BG433" s="235" t="e">
        <f t="shared" si="323"/>
        <v>#DIV/0!</v>
      </c>
    </row>
    <row r="434" spans="2:59">
      <c r="B434" s="246">
        <v>421</v>
      </c>
      <c r="C434" s="241">
        <f t="shared" si="322"/>
        <v>55492</v>
      </c>
      <c r="D434" s="229">
        <f t="shared" si="324"/>
        <v>12</v>
      </c>
      <c r="E434" s="230" t="str">
        <f t="shared" si="325"/>
        <v>-</v>
      </c>
      <c r="F434" s="231">
        <f t="shared" si="326"/>
        <v>0</v>
      </c>
      <c r="G434" s="231">
        <f t="shared" si="327"/>
        <v>0</v>
      </c>
      <c r="H434" s="231">
        <f t="shared" si="328"/>
        <v>0</v>
      </c>
      <c r="I434" s="268">
        <f t="shared" si="313"/>
        <v>0</v>
      </c>
      <c r="J434" s="269">
        <f t="shared" si="329"/>
        <v>0</v>
      </c>
      <c r="K434" s="269">
        <f t="shared" si="330"/>
        <v>0</v>
      </c>
      <c r="L434" s="269">
        <f t="shared" si="314"/>
        <v>0</v>
      </c>
      <c r="M434" s="269">
        <f t="shared" si="315"/>
        <v>0</v>
      </c>
      <c r="N434" s="233">
        <f>VLOOKUP(B434,Dados!$L$86:$P$90,5)</f>
        <v>0</v>
      </c>
      <c r="O434" s="270">
        <f t="shared" si="331"/>
        <v>0.99999999999999989</v>
      </c>
      <c r="P434" s="269">
        <f t="shared" si="332"/>
        <v>0</v>
      </c>
      <c r="Q434" s="269" t="e">
        <f t="shared" si="333"/>
        <v>#DIV/0!</v>
      </c>
      <c r="R434" s="269">
        <f t="shared" si="334"/>
        <v>0</v>
      </c>
      <c r="S434" s="269" t="e">
        <f t="shared" si="335"/>
        <v>#DIV/0!</v>
      </c>
      <c r="T434" s="269" t="e">
        <f t="shared" si="321"/>
        <v>#DIV/0!</v>
      </c>
      <c r="U434" s="234">
        <f t="shared" si="336"/>
        <v>0</v>
      </c>
      <c r="V434" s="232" t="e">
        <f t="shared" si="337"/>
        <v>#DIV/0!</v>
      </c>
      <c r="W434" s="269" t="e">
        <f t="shared" si="338"/>
        <v>#DIV/0!</v>
      </c>
      <c r="X434" s="235">
        <f t="shared" si="316"/>
        <v>0</v>
      </c>
      <c r="Y434" s="236">
        <f t="shared" si="339"/>
        <v>5</v>
      </c>
      <c r="Z434" s="236" t="e">
        <f t="shared" si="340"/>
        <v>#DIV/0!</v>
      </c>
      <c r="AA434" s="236">
        <f t="shared" si="341"/>
        <v>3</v>
      </c>
      <c r="AB434" s="236" t="e">
        <f t="shared" si="342"/>
        <v>#DIV/0!</v>
      </c>
      <c r="AC434" s="235">
        <f t="shared" si="343"/>
        <v>0</v>
      </c>
      <c r="AD434" s="235">
        <f t="shared" si="344"/>
        <v>0</v>
      </c>
      <c r="AE434" s="279">
        <f t="shared" si="345"/>
        <v>0</v>
      </c>
      <c r="AF434" s="232">
        <f t="shared" si="346"/>
        <v>1</v>
      </c>
      <c r="AG434" s="235">
        <f t="shared" si="347"/>
        <v>0</v>
      </c>
      <c r="AH434" s="269">
        <f t="shared" si="348"/>
        <v>0</v>
      </c>
      <c r="AI434" s="232">
        <f t="shared" si="349"/>
        <v>1</v>
      </c>
      <c r="AJ434" s="235">
        <f t="shared" si="350"/>
        <v>0</v>
      </c>
      <c r="AK434" s="269">
        <f t="shared" si="351"/>
        <v>0</v>
      </c>
      <c r="AL434" s="269">
        <f t="shared" si="317"/>
        <v>0</v>
      </c>
      <c r="AM434" s="281" t="e">
        <f>IF(B434&gt;=mpfo,pos*vvm*Dados!$E$122*(ntudv-SUM(U$301:$U435))-SUM($AM$13:AM433),0)</f>
        <v>#DIV/0!</v>
      </c>
      <c r="AN434" s="269" t="e">
        <f t="shared" si="352"/>
        <v>#DIV/0!</v>
      </c>
      <c r="AO434" s="232" t="e">
        <f t="shared" si="353"/>
        <v>#DIV/0!</v>
      </c>
      <c r="AP434" s="242" t="e">
        <f t="shared" si="354"/>
        <v>#DIV/0!</v>
      </c>
      <c r="AQ434" s="235" t="e">
        <f>IF(AP434+SUM($AQ$12:AQ433)&gt;=0,0,-AP434-SUM($AQ$12:AQ433))</f>
        <v>#DIV/0!</v>
      </c>
      <c r="AR434" s="235">
        <f>IF(SUM($N$13:N433)&gt;=pmo,IF(SUM(N433:$N$501)&gt;(1-pmo),B434,0),0)</f>
        <v>0</v>
      </c>
      <c r="AS434" s="235" t="e">
        <f>IF((SUM($U$13:$U433)/ntudv)&gt;=pmv,IF((SUM($U433:$U$501)/ntudv)&gt;(1-pmv),B434,0),0)</f>
        <v>#DIV/0!</v>
      </c>
      <c r="AT434" s="237" t="e">
        <f>IF(MAX(mmo,mmv)=mmo,IF(B434=AR434,(SUM(N$13:$N433)-pmo)/((1-VLOOKUP(MAX(mmo,mmv)-1,$B$13:$O$501,14))+(VLOOKUP(MAX(mmo,mmv)-1,$B$13:$O$501,14)-pmo)),N433/((1-VLOOKUP(MAX(mmo,mmv)-1,$B$13:$O$501,14)+(VLOOKUP(MAX(mmo,mmv)-1,$B$13:$O$501,14)-pmo)))),N433/(1-VLOOKUP(MAX(mmo,mmv)-2,$B$13:$O$501,14)))</f>
        <v>#DIV/0!</v>
      </c>
      <c r="AU434" s="101" t="e">
        <f t="shared" si="318"/>
        <v>#DIV/0!</v>
      </c>
      <c r="AV434" s="287" t="e">
        <f t="shared" si="319"/>
        <v>#DIV/0!</v>
      </c>
      <c r="AW434" s="235" t="e">
        <f t="shared" si="355"/>
        <v>#DIV/0!</v>
      </c>
      <c r="AX434" s="281">
        <f>IF(B434&gt;mpfo,0,IF(B434=mpfo,(vld-teo*(1+tcfo-incc)^(MAX(mmo,mmv)-mbfo))*-1,IF(SUM($N$13:N433)&gt;=pmo,IF(($V433/ntudv)&gt;=pmv,IF(B434=MAX(mmo,mmv),-teo*(1+tcfo-incc)^(B434-mbfo),0),0),0)))</f>
        <v>0</v>
      </c>
      <c r="AY434" s="292" t="e">
        <f t="shared" si="320"/>
        <v>#DIV/0!</v>
      </c>
      <c r="AZ434" s="235" t="e">
        <f t="shared" si="356"/>
        <v>#DIV/0!</v>
      </c>
      <c r="BA434" s="269" t="e">
        <f t="shared" si="357"/>
        <v>#DIV/0!</v>
      </c>
      <c r="BB434" s="292" t="e">
        <f t="shared" si="358"/>
        <v>#DIV/0!</v>
      </c>
      <c r="BC434" s="238" t="e">
        <f>IF(SUM($BC$13:BC433)&gt;0,0,IF(BB434&gt;0,B434,0))</f>
        <v>#DIV/0!</v>
      </c>
      <c r="BD434" s="292" t="e">
        <f>IF(BB434+SUM($BD$12:BD433)&gt;=0,0,-BB434-SUM($BD$12:BD433))</f>
        <v>#DIV/0!</v>
      </c>
      <c r="BE434" s="235" t="e">
        <f>BB434+SUM($BD$12:BD434)</f>
        <v>#DIV/0!</v>
      </c>
      <c r="BF434" s="292" t="e">
        <f>-MIN(BE434:$BE$501)-SUM(BF$12:$BF433)</f>
        <v>#DIV/0!</v>
      </c>
      <c r="BG434" s="235" t="e">
        <f t="shared" si="323"/>
        <v>#DIV/0!</v>
      </c>
    </row>
    <row r="435" spans="2:59">
      <c r="B435" s="120">
        <v>422</v>
      </c>
      <c r="C435" s="241">
        <f t="shared" si="322"/>
        <v>55523</v>
      </c>
      <c r="D435" s="229">
        <f t="shared" si="324"/>
        <v>1</v>
      </c>
      <c r="E435" s="230" t="str">
        <f t="shared" si="325"/>
        <v>-</v>
      </c>
      <c r="F435" s="231">
        <f t="shared" si="326"/>
        <v>0</v>
      </c>
      <c r="G435" s="231">
        <f t="shared" si="327"/>
        <v>0</v>
      </c>
      <c r="H435" s="231">
        <f t="shared" si="328"/>
        <v>0</v>
      </c>
      <c r="I435" s="268">
        <f t="shared" si="313"/>
        <v>0</v>
      </c>
      <c r="J435" s="269">
        <f t="shared" si="329"/>
        <v>0</v>
      </c>
      <c r="K435" s="269">
        <f t="shared" si="330"/>
        <v>0</v>
      </c>
      <c r="L435" s="269">
        <f t="shared" si="314"/>
        <v>0</v>
      </c>
      <c r="M435" s="269">
        <f t="shared" si="315"/>
        <v>0</v>
      </c>
      <c r="N435" s="233">
        <f>VLOOKUP(B435,Dados!$L$86:$P$90,5)</f>
        <v>0</v>
      </c>
      <c r="O435" s="270">
        <f t="shared" si="331"/>
        <v>0.99999999999999989</v>
      </c>
      <c r="P435" s="269">
        <f t="shared" si="332"/>
        <v>0</v>
      </c>
      <c r="Q435" s="269" t="e">
        <f t="shared" si="333"/>
        <v>#DIV/0!</v>
      </c>
      <c r="R435" s="269">
        <f t="shared" si="334"/>
        <v>0</v>
      </c>
      <c r="S435" s="269" t="e">
        <f t="shared" si="335"/>
        <v>#DIV/0!</v>
      </c>
      <c r="T435" s="269" t="e">
        <f t="shared" si="321"/>
        <v>#DIV/0!</v>
      </c>
      <c r="U435" s="234">
        <f t="shared" si="336"/>
        <v>0</v>
      </c>
      <c r="V435" s="232" t="e">
        <f t="shared" si="337"/>
        <v>#DIV/0!</v>
      </c>
      <c r="W435" s="269" t="e">
        <f t="shared" si="338"/>
        <v>#DIV/0!</v>
      </c>
      <c r="X435" s="235">
        <f t="shared" si="316"/>
        <v>0</v>
      </c>
      <c r="Y435" s="236">
        <f t="shared" si="339"/>
        <v>5</v>
      </c>
      <c r="Z435" s="236" t="e">
        <f t="shared" si="340"/>
        <v>#DIV/0!</v>
      </c>
      <c r="AA435" s="236">
        <f t="shared" si="341"/>
        <v>3</v>
      </c>
      <c r="AB435" s="236" t="e">
        <f t="shared" si="342"/>
        <v>#DIV/0!</v>
      </c>
      <c r="AC435" s="235">
        <f t="shared" si="343"/>
        <v>0</v>
      </c>
      <c r="AD435" s="235">
        <f t="shared" si="344"/>
        <v>0</v>
      </c>
      <c r="AE435" s="279">
        <f t="shared" si="345"/>
        <v>0</v>
      </c>
      <c r="AF435" s="232">
        <f t="shared" si="346"/>
        <v>0</v>
      </c>
      <c r="AG435" s="235">
        <f t="shared" si="347"/>
        <v>0</v>
      </c>
      <c r="AH435" s="269">
        <f t="shared" si="348"/>
        <v>0</v>
      </c>
      <c r="AI435" s="232">
        <f t="shared" si="349"/>
        <v>0</v>
      </c>
      <c r="AJ435" s="235">
        <f t="shared" si="350"/>
        <v>0</v>
      </c>
      <c r="AK435" s="269">
        <f t="shared" si="351"/>
        <v>0</v>
      </c>
      <c r="AL435" s="269">
        <f t="shared" si="317"/>
        <v>0</v>
      </c>
      <c r="AM435" s="281" t="e">
        <f>IF(B435&gt;=mpfo,pos*vvm*Dados!$E$122*(ntudv-SUM(U$301:$U436))-SUM($AM$13:AM434),0)</f>
        <v>#DIV/0!</v>
      </c>
      <c r="AN435" s="269" t="e">
        <f t="shared" si="352"/>
        <v>#DIV/0!</v>
      </c>
      <c r="AO435" s="232" t="e">
        <f t="shared" si="353"/>
        <v>#DIV/0!</v>
      </c>
      <c r="AP435" s="242" t="e">
        <f t="shared" si="354"/>
        <v>#DIV/0!</v>
      </c>
      <c r="AQ435" s="235" t="e">
        <f>IF(AP435+SUM($AQ$12:AQ434)&gt;=0,0,-AP435-SUM($AQ$12:AQ434))</f>
        <v>#DIV/0!</v>
      </c>
      <c r="AR435" s="235">
        <f>IF(SUM($N$13:N434)&gt;=pmo,IF(SUM(N434:$N$501)&gt;(1-pmo),B435,0),0)</f>
        <v>0</v>
      </c>
      <c r="AS435" s="235" t="e">
        <f>IF((SUM($U$13:$U434)/ntudv)&gt;=pmv,IF((SUM($U434:$U$501)/ntudv)&gt;(1-pmv),B435,0),0)</f>
        <v>#DIV/0!</v>
      </c>
      <c r="AT435" s="237" t="e">
        <f>IF(MAX(mmo,mmv)=mmo,IF(B435=AR435,(SUM(N$13:$N434)-pmo)/((1-VLOOKUP(MAX(mmo,mmv)-1,$B$13:$O$501,14))+(VLOOKUP(MAX(mmo,mmv)-1,$B$13:$O$501,14)-pmo)),N434/((1-VLOOKUP(MAX(mmo,mmv)-1,$B$13:$O$501,14)+(VLOOKUP(MAX(mmo,mmv)-1,$B$13:$O$501,14)-pmo)))),N434/(1-VLOOKUP(MAX(mmo,mmv)-2,$B$13:$O$501,14)))</f>
        <v>#DIV/0!</v>
      </c>
      <c r="AU435" s="101" t="e">
        <f t="shared" si="318"/>
        <v>#DIV/0!</v>
      </c>
      <c r="AV435" s="287" t="e">
        <f t="shared" si="319"/>
        <v>#DIV/0!</v>
      </c>
      <c r="AW435" s="235" t="e">
        <f t="shared" si="355"/>
        <v>#DIV/0!</v>
      </c>
      <c r="AX435" s="281">
        <f>IF(B435&gt;mpfo,0,IF(B435=mpfo,(vld-teo*(1+tcfo-incc)^(MAX(mmo,mmv)-mbfo))*-1,IF(SUM($N$13:N434)&gt;=pmo,IF(($V434/ntudv)&gt;=pmv,IF(B435=MAX(mmo,mmv),-teo*(1+tcfo-incc)^(B435-mbfo),0),0),0)))</f>
        <v>0</v>
      </c>
      <c r="AY435" s="292" t="e">
        <f t="shared" si="320"/>
        <v>#DIV/0!</v>
      </c>
      <c r="AZ435" s="235" t="e">
        <f t="shared" si="356"/>
        <v>#DIV/0!</v>
      </c>
      <c r="BA435" s="269" t="e">
        <f t="shared" si="357"/>
        <v>#DIV/0!</v>
      </c>
      <c r="BB435" s="292" t="e">
        <f t="shared" si="358"/>
        <v>#DIV/0!</v>
      </c>
      <c r="BC435" s="238" t="e">
        <f>IF(SUM($BC$13:BC434)&gt;0,0,IF(BB435&gt;0,B435,0))</f>
        <v>#DIV/0!</v>
      </c>
      <c r="BD435" s="292" t="e">
        <f>IF(BB435+SUM($BD$12:BD434)&gt;=0,0,-BB435-SUM($BD$12:BD434))</f>
        <v>#DIV/0!</v>
      </c>
      <c r="BE435" s="235" t="e">
        <f>BB435+SUM($BD$12:BD435)</f>
        <v>#DIV/0!</v>
      </c>
      <c r="BF435" s="292" t="e">
        <f>-MIN(BE435:$BE$501)-SUM(BF$12:$BF434)</f>
        <v>#DIV/0!</v>
      </c>
      <c r="BG435" s="235" t="e">
        <f t="shared" si="323"/>
        <v>#DIV/0!</v>
      </c>
    </row>
    <row r="436" spans="2:59">
      <c r="B436" s="246">
        <v>423</v>
      </c>
      <c r="C436" s="241">
        <f t="shared" si="322"/>
        <v>55554</v>
      </c>
      <c r="D436" s="229">
        <f t="shared" si="324"/>
        <v>2</v>
      </c>
      <c r="E436" s="230" t="str">
        <f t="shared" si="325"/>
        <v>-</v>
      </c>
      <c r="F436" s="231">
        <f t="shared" si="326"/>
        <v>0</v>
      </c>
      <c r="G436" s="231">
        <f t="shared" si="327"/>
        <v>0</v>
      </c>
      <c r="H436" s="231">
        <f t="shared" si="328"/>
        <v>0</v>
      </c>
      <c r="I436" s="268">
        <f t="shared" si="313"/>
        <v>0</v>
      </c>
      <c r="J436" s="269">
        <f t="shared" si="329"/>
        <v>0</v>
      </c>
      <c r="K436" s="269">
        <f t="shared" si="330"/>
        <v>0</v>
      </c>
      <c r="L436" s="269">
        <f t="shared" si="314"/>
        <v>0</v>
      </c>
      <c r="M436" s="269">
        <f t="shared" si="315"/>
        <v>0</v>
      </c>
      <c r="N436" s="233">
        <f>VLOOKUP(B436,Dados!$L$86:$P$90,5)</f>
        <v>0</v>
      </c>
      <c r="O436" s="270">
        <f t="shared" si="331"/>
        <v>0.99999999999999989</v>
      </c>
      <c r="P436" s="269">
        <f t="shared" si="332"/>
        <v>0</v>
      </c>
      <c r="Q436" s="269" t="e">
        <f t="shared" si="333"/>
        <v>#DIV/0!</v>
      </c>
      <c r="R436" s="269">
        <f t="shared" si="334"/>
        <v>0</v>
      </c>
      <c r="S436" s="269" t="e">
        <f t="shared" si="335"/>
        <v>#DIV/0!</v>
      </c>
      <c r="T436" s="269" t="e">
        <f t="shared" si="321"/>
        <v>#DIV/0!</v>
      </c>
      <c r="U436" s="234">
        <f t="shared" si="336"/>
        <v>0</v>
      </c>
      <c r="V436" s="232" t="e">
        <f t="shared" si="337"/>
        <v>#DIV/0!</v>
      </c>
      <c r="W436" s="269" t="e">
        <f t="shared" si="338"/>
        <v>#DIV/0!</v>
      </c>
      <c r="X436" s="235">
        <f t="shared" si="316"/>
        <v>0</v>
      </c>
      <c r="Y436" s="236">
        <f t="shared" si="339"/>
        <v>5</v>
      </c>
      <c r="Z436" s="236" t="e">
        <f t="shared" si="340"/>
        <v>#DIV/0!</v>
      </c>
      <c r="AA436" s="236">
        <f t="shared" si="341"/>
        <v>3</v>
      </c>
      <c r="AB436" s="236" t="e">
        <f t="shared" si="342"/>
        <v>#DIV/0!</v>
      </c>
      <c r="AC436" s="235">
        <f t="shared" si="343"/>
        <v>0</v>
      </c>
      <c r="AD436" s="235">
        <f t="shared" si="344"/>
        <v>0</v>
      </c>
      <c r="AE436" s="279">
        <f t="shared" si="345"/>
        <v>0</v>
      </c>
      <c r="AF436" s="232">
        <f t="shared" si="346"/>
        <v>0</v>
      </c>
      <c r="AG436" s="235">
        <f t="shared" si="347"/>
        <v>0</v>
      </c>
      <c r="AH436" s="269">
        <f t="shared" si="348"/>
        <v>0</v>
      </c>
      <c r="AI436" s="232">
        <f t="shared" si="349"/>
        <v>0</v>
      </c>
      <c r="AJ436" s="235">
        <f t="shared" si="350"/>
        <v>0</v>
      </c>
      <c r="AK436" s="269">
        <f t="shared" si="351"/>
        <v>0</v>
      </c>
      <c r="AL436" s="269">
        <f t="shared" si="317"/>
        <v>0</v>
      </c>
      <c r="AM436" s="281" t="e">
        <f>IF(B436&gt;=mpfo,pos*vvm*Dados!$E$122*(ntudv-SUM(U$301:$U437))-SUM($AM$13:AM435),0)</f>
        <v>#DIV/0!</v>
      </c>
      <c r="AN436" s="269" t="e">
        <f t="shared" si="352"/>
        <v>#DIV/0!</v>
      </c>
      <c r="AO436" s="232" t="e">
        <f t="shared" si="353"/>
        <v>#DIV/0!</v>
      </c>
      <c r="AP436" s="242" t="e">
        <f t="shared" si="354"/>
        <v>#DIV/0!</v>
      </c>
      <c r="AQ436" s="235" t="e">
        <f>IF(AP436+SUM($AQ$12:AQ435)&gt;=0,0,-AP436-SUM($AQ$12:AQ435))</f>
        <v>#DIV/0!</v>
      </c>
      <c r="AR436" s="235">
        <f>IF(SUM($N$13:N435)&gt;=pmo,IF(SUM(N435:$N$501)&gt;(1-pmo),B436,0),0)</f>
        <v>0</v>
      </c>
      <c r="AS436" s="235" t="e">
        <f>IF((SUM($U$13:$U435)/ntudv)&gt;=pmv,IF((SUM($U435:$U$501)/ntudv)&gt;(1-pmv),B436,0),0)</f>
        <v>#DIV/0!</v>
      </c>
      <c r="AT436" s="237" t="e">
        <f>IF(MAX(mmo,mmv)=mmo,IF(B436=AR436,(SUM(N$13:$N435)-pmo)/((1-VLOOKUP(MAX(mmo,mmv)-1,$B$13:$O$501,14))+(VLOOKUP(MAX(mmo,mmv)-1,$B$13:$O$501,14)-pmo)),N435/((1-VLOOKUP(MAX(mmo,mmv)-1,$B$13:$O$501,14)+(VLOOKUP(MAX(mmo,mmv)-1,$B$13:$O$501,14)-pmo)))),N435/(1-VLOOKUP(MAX(mmo,mmv)-2,$B$13:$O$501,14)))</f>
        <v>#DIV/0!</v>
      </c>
      <c r="AU436" s="101" t="e">
        <f t="shared" si="318"/>
        <v>#DIV/0!</v>
      </c>
      <c r="AV436" s="287" t="e">
        <f t="shared" si="319"/>
        <v>#DIV/0!</v>
      </c>
      <c r="AW436" s="235" t="e">
        <f t="shared" si="355"/>
        <v>#DIV/0!</v>
      </c>
      <c r="AX436" s="281">
        <f>IF(B436&gt;mpfo,0,IF(B436=mpfo,(vld-teo*(1+tcfo-incc)^(MAX(mmo,mmv)-mbfo))*-1,IF(SUM($N$13:N435)&gt;=pmo,IF(($V435/ntudv)&gt;=pmv,IF(B436=MAX(mmo,mmv),-teo*(1+tcfo-incc)^(B436-mbfo),0),0),0)))</f>
        <v>0</v>
      </c>
      <c r="AY436" s="292" t="e">
        <f t="shared" si="320"/>
        <v>#DIV/0!</v>
      </c>
      <c r="AZ436" s="235" t="e">
        <f t="shared" si="356"/>
        <v>#DIV/0!</v>
      </c>
      <c r="BA436" s="269" t="e">
        <f t="shared" si="357"/>
        <v>#DIV/0!</v>
      </c>
      <c r="BB436" s="292" t="e">
        <f t="shared" si="358"/>
        <v>#DIV/0!</v>
      </c>
      <c r="BC436" s="238" t="e">
        <f>IF(SUM($BC$13:BC435)&gt;0,0,IF(BB436&gt;0,B436,0))</f>
        <v>#DIV/0!</v>
      </c>
      <c r="BD436" s="292" t="e">
        <f>IF(BB436+SUM($BD$12:BD435)&gt;=0,0,-BB436-SUM($BD$12:BD435))</f>
        <v>#DIV/0!</v>
      </c>
      <c r="BE436" s="235" t="e">
        <f>BB436+SUM($BD$12:BD436)</f>
        <v>#DIV/0!</v>
      </c>
      <c r="BF436" s="292" t="e">
        <f>-MIN(BE436:$BE$501)-SUM(BF$12:$BF435)</f>
        <v>#DIV/0!</v>
      </c>
      <c r="BG436" s="235" t="e">
        <f t="shared" si="323"/>
        <v>#DIV/0!</v>
      </c>
    </row>
    <row r="437" spans="2:59">
      <c r="B437" s="120">
        <v>424</v>
      </c>
      <c r="C437" s="241">
        <f t="shared" si="322"/>
        <v>55583</v>
      </c>
      <c r="D437" s="229">
        <f t="shared" si="324"/>
        <v>3</v>
      </c>
      <c r="E437" s="230" t="str">
        <f t="shared" si="325"/>
        <v>-</v>
      </c>
      <c r="F437" s="231">
        <f t="shared" si="326"/>
        <v>0</v>
      </c>
      <c r="G437" s="231">
        <f t="shared" si="327"/>
        <v>0</v>
      </c>
      <c r="H437" s="231">
        <f t="shared" si="328"/>
        <v>0</v>
      </c>
      <c r="I437" s="268">
        <f t="shared" si="313"/>
        <v>0</v>
      </c>
      <c r="J437" s="269">
        <f t="shared" si="329"/>
        <v>0</v>
      </c>
      <c r="K437" s="269">
        <f t="shared" si="330"/>
        <v>0</v>
      </c>
      <c r="L437" s="269">
        <f t="shared" si="314"/>
        <v>0</v>
      </c>
      <c r="M437" s="269">
        <f t="shared" si="315"/>
        <v>0</v>
      </c>
      <c r="N437" s="233">
        <f>VLOOKUP(B437,Dados!$L$86:$P$90,5)</f>
        <v>0</v>
      </c>
      <c r="O437" s="270">
        <f t="shared" si="331"/>
        <v>0.99999999999999989</v>
      </c>
      <c r="P437" s="269">
        <f t="shared" si="332"/>
        <v>0</v>
      </c>
      <c r="Q437" s="269" t="e">
        <f t="shared" si="333"/>
        <v>#DIV/0!</v>
      </c>
      <c r="R437" s="269">
        <f t="shared" si="334"/>
        <v>0</v>
      </c>
      <c r="S437" s="269" t="e">
        <f t="shared" si="335"/>
        <v>#DIV/0!</v>
      </c>
      <c r="T437" s="269" t="e">
        <f t="shared" si="321"/>
        <v>#DIV/0!</v>
      </c>
      <c r="U437" s="234">
        <f t="shared" si="336"/>
        <v>0</v>
      </c>
      <c r="V437" s="232" t="e">
        <f t="shared" si="337"/>
        <v>#DIV/0!</v>
      </c>
      <c r="W437" s="269" t="e">
        <f t="shared" si="338"/>
        <v>#DIV/0!</v>
      </c>
      <c r="X437" s="235">
        <f t="shared" si="316"/>
        <v>0</v>
      </c>
      <c r="Y437" s="236">
        <f t="shared" si="339"/>
        <v>5</v>
      </c>
      <c r="Z437" s="236" t="e">
        <f t="shared" si="340"/>
        <v>#DIV/0!</v>
      </c>
      <c r="AA437" s="236">
        <f t="shared" si="341"/>
        <v>3</v>
      </c>
      <c r="AB437" s="236" t="e">
        <f t="shared" si="342"/>
        <v>#DIV/0!</v>
      </c>
      <c r="AC437" s="235">
        <f t="shared" si="343"/>
        <v>0</v>
      </c>
      <c r="AD437" s="235">
        <f t="shared" si="344"/>
        <v>0</v>
      </c>
      <c r="AE437" s="279">
        <f t="shared" si="345"/>
        <v>0</v>
      </c>
      <c r="AF437" s="232">
        <f t="shared" si="346"/>
        <v>0</v>
      </c>
      <c r="AG437" s="235">
        <f t="shared" si="347"/>
        <v>0</v>
      </c>
      <c r="AH437" s="269">
        <f t="shared" si="348"/>
        <v>0</v>
      </c>
      <c r="AI437" s="232">
        <f t="shared" si="349"/>
        <v>0</v>
      </c>
      <c r="AJ437" s="235">
        <f t="shared" si="350"/>
        <v>0</v>
      </c>
      <c r="AK437" s="269">
        <f t="shared" si="351"/>
        <v>0</v>
      </c>
      <c r="AL437" s="269">
        <f t="shared" si="317"/>
        <v>0</v>
      </c>
      <c r="AM437" s="281" t="e">
        <f>IF(B437&gt;=mpfo,pos*vvm*Dados!$E$122*(ntudv-SUM(U$301:$U438))-SUM($AM$13:AM436),0)</f>
        <v>#DIV/0!</v>
      </c>
      <c r="AN437" s="269" t="e">
        <f t="shared" si="352"/>
        <v>#DIV/0!</v>
      </c>
      <c r="AO437" s="232" t="e">
        <f t="shared" si="353"/>
        <v>#DIV/0!</v>
      </c>
      <c r="AP437" s="242" t="e">
        <f t="shared" si="354"/>
        <v>#DIV/0!</v>
      </c>
      <c r="AQ437" s="235" t="e">
        <f>IF(AP437+SUM($AQ$12:AQ436)&gt;=0,0,-AP437-SUM($AQ$12:AQ436))</f>
        <v>#DIV/0!</v>
      </c>
      <c r="AR437" s="235">
        <f>IF(SUM($N$13:N436)&gt;=pmo,IF(SUM(N436:$N$501)&gt;(1-pmo),B437,0),0)</f>
        <v>0</v>
      </c>
      <c r="AS437" s="235" t="e">
        <f>IF((SUM($U$13:$U436)/ntudv)&gt;=pmv,IF((SUM($U436:$U$501)/ntudv)&gt;(1-pmv),B437,0),0)</f>
        <v>#DIV/0!</v>
      </c>
      <c r="AT437" s="237" t="e">
        <f>IF(MAX(mmo,mmv)=mmo,IF(B437=AR437,(SUM(N$13:$N436)-pmo)/((1-VLOOKUP(MAX(mmo,mmv)-1,$B$13:$O$501,14))+(VLOOKUP(MAX(mmo,mmv)-1,$B$13:$O$501,14)-pmo)),N436/((1-VLOOKUP(MAX(mmo,mmv)-1,$B$13:$O$501,14)+(VLOOKUP(MAX(mmo,mmv)-1,$B$13:$O$501,14)-pmo)))),N436/(1-VLOOKUP(MAX(mmo,mmv)-2,$B$13:$O$501,14)))</f>
        <v>#DIV/0!</v>
      </c>
      <c r="AU437" s="101" t="e">
        <f t="shared" si="318"/>
        <v>#DIV/0!</v>
      </c>
      <c r="AV437" s="287" t="e">
        <f t="shared" si="319"/>
        <v>#DIV/0!</v>
      </c>
      <c r="AW437" s="235" t="e">
        <f t="shared" si="355"/>
        <v>#DIV/0!</v>
      </c>
      <c r="AX437" s="281">
        <f>IF(B437&gt;mpfo,0,IF(B437=mpfo,(vld-teo*(1+tcfo-incc)^(MAX(mmo,mmv)-mbfo))*-1,IF(SUM($N$13:N436)&gt;=pmo,IF(($V436/ntudv)&gt;=pmv,IF(B437=MAX(mmo,mmv),-teo*(1+tcfo-incc)^(B437-mbfo),0),0),0)))</f>
        <v>0</v>
      </c>
      <c r="AY437" s="292" t="e">
        <f t="shared" si="320"/>
        <v>#DIV/0!</v>
      </c>
      <c r="AZ437" s="235" t="e">
        <f t="shared" si="356"/>
        <v>#DIV/0!</v>
      </c>
      <c r="BA437" s="269" t="e">
        <f t="shared" si="357"/>
        <v>#DIV/0!</v>
      </c>
      <c r="BB437" s="292" t="e">
        <f t="shared" si="358"/>
        <v>#DIV/0!</v>
      </c>
      <c r="BC437" s="238" t="e">
        <f>IF(SUM($BC$13:BC436)&gt;0,0,IF(BB437&gt;0,B437,0))</f>
        <v>#DIV/0!</v>
      </c>
      <c r="BD437" s="292" t="e">
        <f>IF(BB437+SUM($BD$12:BD436)&gt;=0,0,-BB437-SUM($BD$12:BD436))</f>
        <v>#DIV/0!</v>
      </c>
      <c r="BE437" s="235" t="e">
        <f>BB437+SUM($BD$12:BD437)</f>
        <v>#DIV/0!</v>
      </c>
      <c r="BF437" s="292" t="e">
        <f>-MIN(BE437:$BE$501)-SUM(BF$12:$BF436)</f>
        <v>#DIV/0!</v>
      </c>
      <c r="BG437" s="235" t="e">
        <f t="shared" si="323"/>
        <v>#DIV/0!</v>
      </c>
    </row>
    <row r="438" spans="2:59">
      <c r="B438" s="246">
        <v>425</v>
      </c>
      <c r="C438" s="241">
        <f t="shared" si="322"/>
        <v>55614</v>
      </c>
      <c r="D438" s="229">
        <f t="shared" si="324"/>
        <v>4</v>
      </c>
      <c r="E438" s="230" t="str">
        <f t="shared" si="325"/>
        <v>-</v>
      </c>
      <c r="F438" s="231">
        <f t="shared" si="326"/>
        <v>0</v>
      </c>
      <c r="G438" s="231">
        <f t="shared" si="327"/>
        <v>0</v>
      </c>
      <c r="H438" s="231">
        <f t="shared" si="328"/>
        <v>0</v>
      </c>
      <c r="I438" s="268">
        <f t="shared" si="313"/>
        <v>0</v>
      </c>
      <c r="J438" s="269">
        <f t="shared" si="329"/>
        <v>0</v>
      </c>
      <c r="K438" s="269">
        <f t="shared" si="330"/>
        <v>0</v>
      </c>
      <c r="L438" s="269">
        <f t="shared" si="314"/>
        <v>0</v>
      </c>
      <c r="M438" s="269">
        <f t="shared" si="315"/>
        <v>0</v>
      </c>
      <c r="N438" s="233">
        <f>VLOOKUP(B438,Dados!$L$86:$P$90,5)</f>
        <v>0</v>
      </c>
      <c r="O438" s="270">
        <f t="shared" si="331"/>
        <v>0.99999999999999989</v>
      </c>
      <c r="P438" s="269">
        <f t="shared" si="332"/>
        <v>0</v>
      </c>
      <c r="Q438" s="269" t="e">
        <f t="shared" si="333"/>
        <v>#DIV/0!</v>
      </c>
      <c r="R438" s="269">
        <f t="shared" si="334"/>
        <v>0</v>
      </c>
      <c r="S438" s="269" t="e">
        <f t="shared" si="335"/>
        <v>#DIV/0!</v>
      </c>
      <c r="T438" s="269" t="e">
        <f t="shared" si="321"/>
        <v>#DIV/0!</v>
      </c>
      <c r="U438" s="234">
        <f t="shared" si="336"/>
        <v>0</v>
      </c>
      <c r="V438" s="232" t="e">
        <f t="shared" si="337"/>
        <v>#DIV/0!</v>
      </c>
      <c r="W438" s="269" t="e">
        <f t="shared" si="338"/>
        <v>#DIV/0!</v>
      </c>
      <c r="X438" s="235">
        <f t="shared" si="316"/>
        <v>0</v>
      </c>
      <c r="Y438" s="236">
        <f t="shared" si="339"/>
        <v>5</v>
      </c>
      <c r="Z438" s="236" t="e">
        <f t="shared" si="340"/>
        <v>#DIV/0!</v>
      </c>
      <c r="AA438" s="236">
        <f t="shared" si="341"/>
        <v>3</v>
      </c>
      <c r="AB438" s="236" t="e">
        <f t="shared" si="342"/>
        <v>#DIV/0!</v>
      </c>
      <c r="AC438" s="235">
        <f t="shared" si="343"/>
        <v>0</v>
      </c>
      <c r="AD438" s="235">
        <f t="shared" si="344"/>
        <v>0</v>
      </c>
      <c r="AE438" s="279">
        <f t="shared" si="345"/>
        <v>0</v>
      </c>
      <c r="AF438" s="232">
        <f t="shared" si="346"/>
        <v>0</v>
      </c>
      <c r="AG438" s="235">
        <f t="shared" si="347"/>
        <v>0</v>
      </c>
      <c r="AH438" s="269">
        <f t="shared" si="348"/>
        <v>0</v>
      </c>
      <c r="AI438" s="232">
        <f t="shared" si="349"/>
        <v>0</v>
      </c>
      <c r="AJ438" s="235">
        <f t="shared" si="350"/>
        <v>0</v>
      </c>
      <c r="AK438" s="269">
        <f t="shared" si="351"/>
        <v>0</v>
      </c>
      <c r="AL438" s="269">
        <f t="shared" si="317"/>
        <v>0</v>
      </c>
      <c r="AM438" s="281" t="e">
        <f>IF(B438&gt;=mpfo,pos*vvm*Dados!$E$122*(ntudv-SUM(U$301:$U439))-SUM($AM$13:AM437),0)</f>
        <v>#DIV/0!</v>
      </c>
      <c r="AN438" s="269" t="e">
        <f t="shared" si="352"/>
        <v>#DIV/0!</v>
      </c>
      <c r="AO438" s="232" t="e">
        <f t="shared" si="353"/>
        <v>#DIV/0!</v>
      </c>
      <c r="AP438" s="242" t="e">
        <f t="shared" si="354"/>
        <v>#DIV/0!</v>
      </c>
      <c r="AQ438" s="235" t="e">
        <f>IF(AP438+SUM($AQ$12:AQ437)&gt;=0,0,-AP438-SUM($AQ$12:AQ437))</f>
        <v>#DIV/0!</v>
      </c>
      <c r="AR438" s="235">
        <f>IF(SUM($N$13:N437)&gt;=pmo,IF(SUM(N437:$N$501)&gt;(1-pmo),B438,0),0)</f>
        <v>0</v>
      </c>
      <c r="AS438" s="235" t="e">
        <f>IF((SUM($U$13:$U437)/ntudv)&gt;=pmv,IF((SUM($U437:$U$501)/ntudv)&gt;(1-pmv),B438,0),0)</f>
        <v>#DIV/0!</v>
      </c>
      <c r="AT438" s="237" t="e">
        <f>IF(MAX(mmo,mmv)=mmo,IF(B438=AR438,(SUM(N$13:$N437)-pmo)/((1-VLOOKUP(MAX(mmo,mmv)-1,$B$13:$O$501,14))+(VLOOKUP(MAX(mmo,mmv)-1,$B$13:$O$501,14)-pmo)),N437/((1-VLOOKUP(MAX(mmo,mmv)-1,$B$13:$O$501,14)+(VLOOKUP(MAX(mmo,mmv)-1,$B$13:$O$501,14)-pmo)))),N437/(1-VLOOKUP(MAX(mmo,mmv)-2,$B$13:$O$501,14)))</f>
        <v>#DIV/0!</v>
      </c>
      <c r="AU438" s="101" t="e">
        <f t="shared" si="318"/>
        <v>#DIV/0!</v>
      </c>
      <c r="AV438" s="287" t="e">
        <f t="shared" si="319"/>
        <v>#DIV/0!</v>
      </c>
      <c r="AW438" s="235" t="e">
        <f t="shared" si="355"/>
        <v>#DIV/0!</v>
      </c>
      <c r="AX438" s="281">
        <f>IF(B438&gt;mpfo,0,IF(B438=mpfo,(vld-teo*(1+tcfo-incc)^(MAX(mmo,mmv)-mbfo))*-1,IF(SUM($N$13:N437)&gt;=pmo,IF(($V437/ntudv)&gt;=pmv,IF(B438=MAX(mmo,mmv),-teo*(1+tcfo-incc)^(B438-mbfo),0),0),0)))</f>
        <v>0</v>
      </c>
      <c r="AY438" s="292" t="e">
        <f t="shared" si="320"/>
        <v>#DIV/0!</v>
      </c>
      <c r="AZ438" s="235" t="e">
        <f t="shared" si="356"/>
        <v>#DIV/0!</v>
      </c>
      <c r="BA438" s="269" t="e">
        <f t="shared" si="357"/>
        <v>#DIV/0!</v>
      </c>
      <c r="BB438" s="292" t="e">
        <f t="shared" si="358"/>
        <v>#DIV/0!</v>
      </c>
      <c r="BC438" s="238" t="e">
        <f>IF(SUM($BC$13:BC437)&gt;0,0,IF(BB438&gt;0,B438,0))</f>
        <v>#DIV/0!</v>
      </c>
      <c r="BD438" s="292" t="e">
        <f>IF(BB438+SUM($BD$12:BD437)&gt;=0,0,-BB438-SUM($BD$12:BD437))</f>
        <v>#DIV/0!</v>
      </c>
      <c r="BE438" s="235" t="e">
        <f>BB438+SUM($BD$12:BD438)</f>
        <v>#DIV/0!</v>
      </c>
      <c r="BF438" s="292" t="e">
        <f>-MIN(BE438:$BE$501)-SUM(BF$12:$BF437)</f>
        <v>#DIV/0!</v>
      </c>
      <c r="BG438" s="235" t="e">
        <f t="shared" si="323"/>
        <v>#DIV/0!</v>
      </c>
    </row>
    <row r="439" spans="2:59">
      <c r="B439" s="120">
        <v>426</v>
      </c>
      <c r="C439" s="241">
        <f t="shared" si="322"/>
        <v>55644</v>
      </c>
      <c r="D439" s="229">
        <f t="shared" si="324"/>
        <v>5</v>
      </c>
      <c r="E439" s="230" t="str">
        <f t="shared" si="325"/>
        <v>-</v>
      </c>
      <c r="F439" s="231">
        <f t="shared" si="326"/>
        <v>0</v>
      </c>
      <c r="G439" s="231">
        <f t="shared" si="327"/>
        <v>0</v>
      </c>
      <c r="H439" s="231">
        <f t="shared" si="328"/>
        <v>0</v>
      </c>
      <c r="I439" s="268">
        <f t="shared" si="313"/>
        <v>0</v>
      </c>
      <c r="J439" s="269">
        <f t="shared" si="329"/>
        <v>0</v>
      </c>
      <c r="K439" s="269">
        <f t="shared" si="330"/>
        <v>0</v>
      </c>
      <c r="L439" s="269">
        <f t="shared" si="314"/>
        <v>0</v>
      </c>
      <c r="M439" s="269">
        <f t="shared" si="315"/>
        <v>0</v>
      </c>
      <c r="N439" s="233">
        <f>VLOOKUP(B439,Dados!$L$86:$P$90,5)</f>
        <v>0</v>
      </c>
      <c r="O439" s="270">
        <f t="shared" si="331"/>
        <v>0.99999999999999989</v>
      </c>
      <c r="P439" s="269">
        <f t="shared" si="332"/>
        <v>0</v>
      </c>
      <c r="Q439" s="269" t="e">
        <f t="shared" si="333"/>
        <v>#DIV/0!</v>
      </c>
      <c r="R439" s="269">
        <f t="shared" si="334"/>
        <v>0</v>
      </c>
      <c r="S439" s="269" t="e">
        <f t="shared" si="335"/>
        <v>#DIV/0!</v>
      </c>
      <c r="T439" s="269" t="e">
        <f t="shared" si="321"/>
        <v>#DIV/0!</v>
      </c>
      <c r="U439" s="234">
        <f t="shared" si="336"/>
        <v>0</v>
      </c>
      <c r="V439" s="232" t="e">
        <f t="shared" si="337"/>
        <v>#DIV/0!</v>
      </c>
      <c r="W439" s="269" t="e">
        <f t="shared" si="338"/>
        <v>#DIV/0!</v>
      </c>
      <c r="X439" s="235">
        <f t="shared" si="316"/>
        <v>0</v>
      </c>
      <c r="Y439" s="236">
        <f t="shared" si="339"/>
        <v>5</v>
      </c>
      <c r="Z439" s="236" t="e">
        <f t="shared" si="340"/>
        <v>#DIV/0!</v>
      </c>
      <c r="AA439" s="236">
        <f t="shared" si="341"/>
        <v>3</v>
      </c>
      <c r="AB439" s="236" t="e">
        <f t="shared" si="342"/>
        <v>#DIV/0!</v>
      </c>
      <c r="AC439" s="235">
        <f t="shared" si="343"/>
        <v>0</v>
      </c>
      <c r="AD439" s="235">
        <f t="shared" si="344"/>
        <v>0</v>
      </c>
      <c r="AE439" s="279">
        <f t="shared" si="345"/>
        <v>0</v>
      </c>
      <c r="AF439" s="232">
        <f t="shared" si="346"/>
        <v>0</v>
      </c>
      <c r="AG439" s="235">
        <f t="shared" si="347"/>
        <v>0</v>
      </c>
      <c r="AH439" s="269">
        <f t="shared" si="348"/>
        <v>0</v>
      </c>
      <c r="AI439" s="232">
        <f t="shared" si="349"/>
        <v>0</v>
      </c>
      <c r="AJ439" s="235">
        <f t="shared" si="350"/>
        <v>0</v>
      </c>
      <c r="AK439" s="269">
        <f t="shared" si="351"/>
        <v>0</v>
      </c>
      <c r="AL439" s="269">
        <f t="shared" si="317"/>
        <v>0</v>
      </c>
      <c r="AM439" s="281" t="e">
        <f>IF(B439&gt;=mpfo,pos*vvm*Dados!$E$122*(ntudv-SUM(U$301:$U440))-SUM($AM$13:AM438),0)</f>
        <v>#DIV/0!</v>
      </c>
      <c r="AN439" s="269" t="e">
        <f t="shared" si="352"/>
        <v>#DIV/0!</v>
      </c>
      <c r="AO439" s="232" t="e">
        <f t="shared" si="353"/>
        <v>#DIV/0!</v>
      </c>
      <c r="AP439" s="242" t="e">
        <f t="shared" si="354"/>
        <v>#DIV/0!</v>
      </c>
      <c r="AQ439" s="235" t="e">
        <f>IF(AP439+SUM($AQ$12:AQ438)&gt;=0,0,-AP439-SUM($AQ$12:AQ438))</f>
        <v>#DIV/0!</v>
      </c>
      <c r="AR439" s="235">
        <f>IF(SUM($N$13:N438)&gt;=pmo,IF(SUM(N438:$N$501)&gt;(1-pmo),B439,0),0)</f>
        <v>0</v>
      </c>
      <c r="AS439" s="235" t="e">
        <f>IF((SUM($U$13:$U438)/ntudv)&gt;=pmv,IF((SUM($U438:$U$501)/ntudv)&gt;(1-pmv),B439,0),0)</f>
        <v>#DIV/0!</v>
      </c>
      <c r="AT439" s="237" t="e">
        <f>IF(MAX(mmo,mmv)=mmo,IF(B439=AR439,(SUM(N$13:$N438)-pmo)/((1-VLOOKUP(MAX(mmo,mmv)-1,$B$13:$O$501,14))+(VLOOKUP(MAX(mmo,mmv)-1,$B$13:$O$501,14)-pmo)),N438/((1-VLOOKUP(MAX(mmo,mmv)-1,$B$13:$O$501,14)+(VLOOKUP(MAX(mmo,mmv)-1,$B$13:$O$501,14)-pmo)))),N438/(1-VLOOKUP(MAX(mmo,mmv)-2,$B$13:$O$501,14)))</f>
        <v>#DIV/0!</v>
      </c>
      <c r="AU439" s="101" t="e">
        <f t="shared" si="318"/>
        <v>#DIV/0!</v>
      </c>
      <c r="AV439" s="287" t="e">
        <f t="shared" si="319"/>
        <v>#DIV/0!</v>
      </c>
      <c r="AW439" s="235" t="e">
        <f t="shared" si="355"/>
        <v>#DIV/0!</v>
      </c>
      <c r="AX439" s="281">
        <f>IF(B439&gt;mpfo,0,IF(B439=mpfo,(vld-teo*(1+tcfo-incc)^(MAX(mmo,mmv)-mbfo))*-1,IF(SUM($N$13:N438)&gt;=pmo,IF(($V438/ntudv)&gt;=pmv,IF(B439=MAX(mmo,mmv),-teo*(1+tcfo-incc)^(B439-mbfo),0),0),0)))</f>
        <v>0</v>
      </c>
      <c r="AY439" s="292" t="e">
        <f t="shared" si="320"/>
        <v>#DIV/0!</v>
      </c>
      <c r="AZ439" s="235" t="e">
        <f t="shared" si="356"/>
        <v>#DIV/0!</v>
      </c>
      <c r="BA439" s="269" t="e">
        <f t="shared" si="357"/>
        <v>#DIV/0!</v>
      </c>
      <c r="BB439" s="292" t="e">
        <f t="shared" si="358"/>
        <v>#DIV/0!</v>
      </c>
      <c r="BC439" s="238" t="e">
        <f>IF(SUM($BC$13:BC438)&gt;0,0,IF(BB439&gt;0,B439,0))</f>
        <v>#DIV/0!</v>
      </c>
      <c r="BD439" s="292" t="e">
        <f>IF(BB439+SUM($BD$12:BD438)&gt;=0,0,-BB439-SUM($BD$12:BD438))</f>
        <v>#DIV/0!</v>
      </c>
      <c r="BE439" s="235" t="e">
        <f>BB439+SUM($BD$12:BD439)</f>
        <v>#DIV/0!</v>
      </c>
      <c r="BF439" s="292" t="e">
        <f>-MIN(BE439:$BE$501)-SUM(BF$12:$BF438)</f>
        <v>#DIV/0!</v>
      </c>
      <c r="BG439" s="235" t="e">
        <f t="shared" si="323"/>
        <v>#DIV/0!</v>
      </c>
    </row>
    <row r="440" spans="2:59">
      <c r="B440" s="246">
        <v>427</v>
      </c>
      <c r="C440" s="241">
        <f t="shared" si="322"/>
        <v>55675</v>
      </c>
      <c r="D440" s="229">
        <f t="shared" si="324"/>
        <v>6</v>
      </c>
      <c r="E440" s="230" t="str">
        <f t="shared" si="325"/>
        <v>-</v>
      </c>
      <c r="F440" s="231">
        <f t="shared" si="326"/>
        <v>0</v>
      </c>
      <c r="G440" s="231">
        <f t="shared" si="327"/>
        <v>0</v>
      </c>
      <c r="H440" s="231">
        <f t="shared" si="328"/>
        <v>0</v>
      </c>
      <c r="I440" s="268">
        <f t="shared" si="313"/>
        <v>0</v>
      </c>
      <c r="J440" s="269">
        <f t="shared" si="329"/>
        <v>0</v>
      </c>
      <c r="K440" s="269">
        <f t="shared" si="330"/>
        <v>0</v>
      </c>
      <c r="L440" s="269">
        <f t="shared" si="314"/>
        <v>0</v>
      </c>
      <c r="M440" s="269">
        <f t="shared" si="315"/>
        <v>0</v>
      </c>
      <c r="N440" s="233">
        <f>VLOOKUP(B440,Dados!$L$86:$P$90,5)</f>
        <v>0</v>
      </c>
      <c r="O440" s="270">
        <f t="shared" si="331"/>
        <v>0.99999999999999989</v>
      </c>
      <c r="P440" s="269">
        <f t="shared" si="332"/>
        <v>0</v>
      </c>
      <c r="Q440" s="269" t="e">
        <f t="shared" si="333"/>
        <v>#DIV/0!</v>
      </c>
      <c r="R440" s="269">
        <f t="shared" si="334"/>
        <v>0</v>
      </c>
      <c r="S440" s="269" t="e">
        <f t="shared" si="335"/>
        <v>#DIV/0!</v>
      </c>
      <c r="T440" s="269" t="e">
        <f t="shared" si="321"/>
        <v>#DIV/0!</v>
      </c>
      <c r="U440" s="234">
        <f t="shared" si="336"/>
        <v>0</v>
      </c>
      <c r="V440" s="232" t="e">
        <f t="shared" si="337"/>
        <v>#DIV/0!</v>
      </c>
      <c r="W440" s="269" t="e">
        <f t="shared" si="338"/>
        <v>#DIV/0!</v>
      </c>
      <c r="X440" s="235">
        <f t="shared" si="316"/>
        <v>0</v>
      </c>
      <c r="Y440" s="236">
        <f t="shared" si="339"/>
        <v>5</v>
      </c>
      <c r="Z440" s="236" t="e">
        <f t="shared" si="340"/>
        <v>#DIV/0!</v>
      </c>
      <c r="AA440" s="236">
        <f t="shared" si="341"/>
        <v>3</v>
      </c>
      <c r="AB440" s="236" t="e">
        <f t="shared" si="342"/>
        <v>#DIV/0!</v>
      </c>
      <c r="AC440" s="235">
        <f t="shared" si="343"/>
        <v>0</v>
      </c>
      <c r="AD440" s="235">
        <f t="shared" si="344"/>
        <v>0</v>
      </c>
      <c r="AE440" s="279">
        <f t="shared" si="345"/>
        <v>0</v>
      </c>
      <c r="AF440" s="232">
        <f t="shared" si="346"/>
        <v>1</v>
      </c>
      <c r="AG440" s="235">
        <f t="shared" si="347"/>
        <v>0</v>
      </c>
      <c r="AH440" s="269">
        <f t="shared" si="348"/>
        <v>0</v>
      </c>
      <c r="AI440" s="232">
        <f t="shared" si="349"/>
        <v>0</v>
      </c>
      <c r="AJ440" s="235">
        <f t="shared" si="350"/>
        <v>0</v>
      </c>
      <c r="AK440" s="269">
        <f t="shared" si="351"/>
        <v>0</v>
      </c>
      <c r="AL440" s="269">
        <f t="shared" si="317"/>
        <v>0</v>
      </c>
      <c r="AM440" s="281" t="e">
        <f>IF(B440&gt;=mpfo,pos*vvm*Dados!$E$122*(ntudv-SUM(U$301:$U441))-SUM($AM$13:AM439),0)</f>
        <v>#DIV/0!</v>
      </c>
      <c r="AN440" s="269" t="e">
        <f t="shared" si="352"/>
        <v>#DIV/0!</v>
      </c>
      <c r="AO440" s="232" t="e">
        <f t="shared" si="353"/>
        <v>#DIV/0!</v>
      </c>
      <c r="AP440" s="242" t="e">
        <f t="shared" si="354"/>
        <v>#DIV/0!</v>
      </c>
      <c r="AQ440" s="235" t="e">
        <f>IF(AP440+SUM($AQ$12:AQ439)&gt;=0,0,-AP440-SUM($AQ$12:AQ439))</f>
        <v>#DIV/0!</v>
      </c>
      <c r="AR440" s="235">
        <f>IF(SUM($N$13:N439)&gt;=pmo,IF(SUM(N439:$N$501)&gt;(1-pmo),B440,0),0)</f>
        <v>0</v>
      </c>
      <c r="AS440" s="235" t="e">
        <f>IF((SUM($U$13:$U439)/ntudv)&gt;=pmv,IF((SUM($U439:$U$501)/ntudv)&gt;(1-pmv),B440,0),0)</f>
        <v>#DIV/0!</v>
      </c>
      <c r="AT440" s="237" t="e">
        <f>IF(MAX(mmo,mmv)=mmo,IF(B440=AR440,(SUM(N$13:$N439)-pmo)/((1-VLOOKUP(MAX(mmo,mmv)-1,$B$13:$O$501,14))+(VLOOKUP(MAX(mmo,mmv)-1,$B$13:$O$501,14)-pmo)),N439/((1-VLOOKUP(MAX(mmo,mmv)-1,$B$13:$O$501,14)+(VLOOKUP(MAX(mmo,mmv)-1,$B$13:$O$501,14)-pmo)))),N439/(1-VLOOKUP(MAX(mmo,mmv)-2,$B$13:$O$501,14)))</f>
        <v>#DIV/0!</v>
      </c>
      <c r="AU440" s="101" t="e">
        <f t="shared" si="318"/>
        <v>#DIV/0!</v>
      </c>
      <c r="AV440" s="287" t="e">
        <f t="shared" si="319"/>
        <v>#DIV/0!</v>
      </c>
      <c r="AW440" s="235" t="e">
        <f t="shared" si="355"/>
        <v>#DIV/0!</v>
      </c>
      <c r="AX440" s="281">
        <f>IF(B440&gt;mpfo,0,IF(B440=mpfo,(vld-teo*(1+tcfo-incc)^(MAX(mmo,mmv)-mbfo))*-1,IF(SUM($N$13:N439)&gt;=pmo,IF(($V439/ntudv)&gt;=pmv,IF(B440=MAX(mmo,mmv),-teo*(1+tcfo-incc)^(B440-mbfo),0),0),0)))</f>
        <v>0</v>
      </c>
      <c r="AY440" s="292" t="e">
        <f t="shared" si="320"/>
        <v>#DIV/0!</v>
      </c>
      <c r="AZ440" s="235" t="e">
        <f t="shared" si="356"/>
        <v>#DIV/0!</v>
      </c>
      <c r="BA440" s="269" t="e">
        <f t="shared" si="357"/>
        <v>#DIV/0!</v>
      </c>
      <c r="BB440" s="292" t="e">
        <f t="shared" si="358"/>
        <v>#DIV/0!</v>
      </c>
      <c r="BC440" s="238" t="e">
        <f>IF(SUM($BC$13:BC439)&gt;0,0,IF(BB440&gt;0,B440,0))</f>
        <v>#DIV/0!</v>
      </c>
      <c r="BD440" s="292" t="e">
        <f>IF(BB440+SUM($BD$12:BD439)&gt;=0,0,-BB440-SUM($BD$12:BD439))</f>
        <v>#DIV/0!</v>
      </c>
      <c r="BE440" s="235" t="e">
        <f>BB440+SUM($BD$12:BD440)</f>
        <v>#DIV/0!</v>
      </c>
      <c r="BF440" s="292" t="e">
        <f>-MIN(BE440:$BE$501)-SUM(BF$12:$BF439)</f>
        <v>#DIV/0!</v>
      </c>
      <c r="BG440" s="235" t="e">
        <f t="shared" si="323"/>
        <v>#DIV/0!</v>
      </c>
    </row>
    <row r="441" spans="2:59">
      <c r="B441" s="120">
        <v>428</v>
      </c>
      <c r="C441" s="241">
        <f t="shared" si="322"/>
        <v>55705</v>
      </c>
      <c r="D441" s="229">
        <f t="shared" si="324"/>
        <v>7</v>
      </c>
      <c r="E441" s="230" t="str">
        <f t="shared" si="325"/>
        <v>-</v>
      </c>
      <c r="F441" s="231">
        <f t="shared" si="326"/>
        <v>0</v>
      </c>
      <c r="G441" s="231">
        <f t="shared" si="327"/>
        <v>0</v>
      </c>
      <c r="H441" s="231">
        <f t="shared" si="328"/>
        <v>0</v>
      </c>
      <c r="I441" s="268">
        <f t="shared" si="313"/>
        <v>0</v>
      </c>
      <c r="J441" s="269">
        <f t="shared" si="329"/>
        <v>0</v>
      </c>
      <c r="K441" s="269">
        <f t="shared" si="330"/>
        <v>0</v>
      </c>
      <c r="L441" s="269">
        <f t="shared" si="314"/>
        <v>0</v>
      </c>
      <c r="M441" s="269">
        <f t="shared" si="315"/>
        <v>0</v>
      </c>
      <c r="N441" s="233">
        <f>VLOOKUP(B441,Dados!$L$86:$P$90,5)</f>
        <v>0</v>
      </c>
      <c r="O441" s="270">
        <f t="shared" si="331"/>
        <v>0.99999999999999989</v>
      </c>
      <c r="P441" s="269">
        <f t="shared" si="332"/>
        <v>0</v>
      </c>
      <c r="Q441" s="269" t="e">
        <f t="shared" si="333"/>
        <v>#DIV/0!</v>
      </c>
      <c r="R441" s="269">
        <f t="shared" si="334"/>
        <v>0</v>
      </c>
      <c r="S441" s="269" t="e">
        <f t="shared" si="335"/>
        <v>#DIV/0!</v>
      </c>
      <c r="T441" s="269" t="e">
        <f t="shared" si="321"/>
        <v>#DIV/0!</v>
      </c>
      <c r="U441" s="234">
        <f t="shared" si="336"/>
        <v>0</v>
      </c>
      <c r="V441" s="232" t="e">
        <f t="shared" si="337"/>
        <v>#DIV/0!</v>
      </c>
      <c r="W441" s="269" t="e">
        <f t="shared" si="338"/>
        <v>#DIV/0!</v>
      </c>
      <c r="X441" s="235">
        <f t="shared" si="316"/>
        <v>0</v>
      </c>
      <c r="Y441" s="236">
        <f t="shared" si="339"/>
        <v>5</v>
      </c>
      <c r="Z441" s="236" t="e">
        <f t="shared" si="340"/>
        <v>#DIV/0!</v>
      </c>
      <c r="AA441" s="236">
        <f t="shared" si="341"/>
        <v>3</v>
      </c>
      <c r="AB441" s="236" t="e">
        <f t="shared" si="342"/>
        <v>#DIV/0!</v>
      </c>
      <c r="AC441" s="235">
        <f t="shared" si="343"/>
        <v>0</v>
      </c>
      <c r="AD441" s="235">
        <f t="shared" si="344"/>
        <v>0</v>
      </c>
      <c r="AE441" s="279">
        <f t="shared" si="345"/>
        <v>0</v>
      </c>
      <c r="AF441" s="232">
        <f t="shared" si="346"/>
        <v>0</v>
      </c>
      <c r="AG441" s="235">
        <f t="shared" si="347"/>
        <v>0</v>
      </c>
      <c r="AH441" s="269">
        <f t="shared" si="348"/>
        <v>0</v>
      </c>
      <c r="AI441" s="232">
        <f t="shared" si="349"/>
        <v>0</v>
      </c>
      <c r="AJ441" s="235">
        <f t="shared" si="350"/>
        <v>0</v>
      </c>
      <c r="AK441" s="269">
        <f t="shared" si="351"/>
        <v>0</v>
      </c>
      <c r="AL441" s="269">
        <f t="shared" si="317"/>
        <v>0</v>
      </c>
      <c r="AM441" s="281" t="e">
        <f>IF(B441&gt;=mpfo,pos*vvm*Dados!$E$122*(ntudv-SUM(U$301:$U442))-SUM($AM$13:AM440),0)</f>
        <v>#DIV/0!</v>
      </c>
      <c r="AN441" s="269" t="e">
        <f t="shared" si="352"/>
        <v>#DIV/0!</v>
      </c>
      <c r="AO441" s="232" t="e">
        <f t="shared" si="353"/>
        <v>#DIV/0!</v>
      </c>
      <c r="AP441" s="242" t="e">
        <f t="shared" si="354"/>
        <v>#DIV/0!</v>
      </c>
      <c r="AQ441" s="235" t="e">
        <f>IF(AP441+SUM($AQ$12:AQ440)&gt;=0,0,-AP441-SUM($AQ$12:AQ440))</f>
        <v>#DIV/0!</v>
      </c>
      <c r="AR441" s="235">
        <f>IF(SUM($N$13:N440)&gt;=pmo,IF(SUM(N440:$N$501)&gt;(1-pmo),B441,0),0)</f>
        <v>0</v>
      </c>
      <c r="AS441" s="235" t="e">
        <f>IF((SUM($U$13:$U440)/ntudv)&gt;=pmv,IF((SUM($U440:$U$501)/ntudv)&gt;(1-pmv),B441,0),0)</f>
        <v>#DIV/0!</v>
      </c>
      <c r="AT441" s="237" t="e">
        <f>IF(MAX(mmo,mmv)=mmo,IF(B441=AR441,(SUM(N$13:$N440)-pmo)/((1-VLOOKUP(MAX(mmo,mmv)-1,$B$13:$O$501,14))+(VLOOKUP(MAX(mmo,mmv)-1,$B$13:$O$501,14)-pmo)),N440/((1-VLOOKUP(MAX(mmo,mmv)-1,$B$13:$O$501,14)+(VLOOKUP(MAX(mmo,mmv)-1,$B$13:$O$501,14)-pmo)))),N440/(1-VLOOKUP(MAX(mmo,mmv)-2,$B$13:$O$501,14)))</f>
        <v>#DIV/0!</v>
      </c>
      <c r="AU441" s="101" t="e">
        <f t="shared" si="318"/>
        <v>#DIV/0!</v>
      </c>
      <c r="AV441" s="287" t="e">
        <f t="shared" si="319"/>
        <v>#DIV/0!</v>
      </c>
      <c r="AW441" s="235" t="e">
        <f t="shared" si="355"/>
        <v>#DIV/0!</v>
      </c>
      <c r="AX441" s="281">
        <f>IF(B441&gt;mpfo,0,IF(B441=mpfo,(vld-teo*(1+tcfo-incc)^(MAX(mmo,mmv)-mbfo))*-1,IF(SUM($N$13:N440)&gt;=pmo,IF(($V440/ntudv)&gt;=pmv,IF(B441=MAX(mmo,mmv),-teo*(1+tcfo-incc)^(B441-mbfo),0),0),0)))</f>
        <v>0</v>
      </c>
      <c r="AY441" s="292" t="e">
        <f t="shared" si="320"/>
        <v>#DIV/0!</v>
      </c>
      <c r="AZ441" s="235" t="e">
        <f t="shared" si="356"/>
        <v>#DIV/0!</v>
      </c>
      <c r="BA441" s="269" t="e">
        <f t="shared" si="357"/>
        <v>#DIV/0!</v>
      </c>
      <c r="BB441" s="292" t="e">
        <f t="shared" si="358"/>
        <v>#DIV/0!</v>
      </c>
      <c r="BC441" s="238" t="e">
        <f>IF(SUM($BC$13:BC440)&gt;0,0,IF(BB441&gt;0,B441,0))</f>
        <v>#DIV/0!</v>
      </c>
      <c r="BD441" s="292" t="e">
        <f>IF(BB441+SUM($BD$12:BD440)&gt;=0,0,-BB441-SUM($BD$12:BD440))</f>
        <v>#DIV/0!</v>
      </c>
      <c r="BE441" s="235" t="e">
        <f>BB441+SUM($BD$12:BD441)</f>
        <v>#DIV/0!</v>
      </c>
      <c r="BF441" s="292" t="e">
        <f>-MIN(BE441:$BE$501)-SUM(BF$12:$BF440)</f>
        <v>#DIV/0!</v>
      </c>
      <c r="BG441" s="235" t="e">
        <f t="shared" si="323"/>
        <v>#DIV/0!</v>
      </c>
    </row>
    <row r="442" spans="2:59">
      <c r="B442" s="246">
        <v>429</v>
      </c>
      <c r="C442" s="241">
        <f t="shared" si="322"/>
        <v>55736</v>
      </c>
      <c r="D442" s="229">
        <f t="shared" si="324"/>
        <v>8</v>
      </c>
      <c r="E442" s="230" t="str">
        <f t="shared" si="325"/>
        <v>-</v>
      </c>
      <c r="F442" s="231">
        <f t="shared" si="326"/>
        <v>0</v>
      </c>
      <c r="G442" s="231">
        <f t="shared" si="327"/>
        <v>0</v>
      </c>
      <c r="H442" s="231">
        <f t="shared" si="328"/>
        <v>0</v>
      </c>
      <c r="I442" s="268">
        <f t="shared" si="313"/>
        <v>0</v>
      </c>
      <c r="J442" s="269">
        <f t="shared" si="329"/>
        <v>0</v>
      </c>
      <c r="K442" s="269">
        <f t="shared" si="330"/>
        <v>0</v>
      </c>
      <c r="L442" s="269">
        <f t="shared" si="314"/>
        <v>0</v>
      </c>
      <c r="M442" s="269">
        <f t="shared" si="315"/>
        <v>0</v>
      </c>
      <c r="N442" s="233">
        <f>VLOOKUP(B442,Dados!$L$86:$P$90,5)</f>
        <v>0</v>
      </c>
      <c r="O442" s="270">
        <f t="shared" si="331"/>
        <v>0.99999999999999989</v>
      </c>
      <c r="P442" s="269">
        <f t="shared" si="332"/>
        <v>0</v>
      </c>
      <c r="Q442" s="269" t="e">
        <f t="shared" si="333"/>
        <v>#DIV/0!</v>
      </c>
      <c r="R442" s="269">
        <f t="shared" si="334"/>
        <v>0</v>
      </c>
      <c r="S442" s="269" t="e">
        <f t="shared" si="335"/>
        <v>#DIV/0!</v>
      </c>
      <c r="T442" s="269" t="e">
        <f t="shared" si="321"/>
        <v>#DIV/0!</v>
      </c>
      <c r="U442" s="234">
        <f t="shared" si="336"/>
        <v>0</v>
      </c>
      <c r="V442" s="232" t="e">
        <f t="shared" si="337"/>
        <v>#DIV/0!</v>
      </c>
      <c r="W442" s="269" t="e">
        <f t="shared" si="338"/>
        <v>#DIV/0!</v>
      </c>
      <c r="X442" s="235">
        <f t="shared" si="316"/>
        <v>0</v>
      </c>
      <c r="Y442" s="236">
        <f t="shared" si="339"/>
        <v>5</v>
      </c>
      <c r="Z442" s="236" t="e">
        <f t="shared" si="340"/>
        <v>#DIV/0!</v>
      </c>
      <c r="AA442" s="236">
        <f t="shared" si="341"/>
        <v>3</v>
      </c>
      <c r="AB442" s="236" t="e">
        <f t="shared" si="342"/>
        <v>#DIV/0!</v>
      </c>
      <c r="AC442" s="235">
        <f t="shared" si="343"/>
        <v>0</v>
      </c>
      <c r="AD442" s="235">
        <f t="shared" si="344"/>
        <v>0</v>
      </c>
      <c r="AE442" s="279">
        <f t="shared" si="345"/>
        <v>0</v>
      </c>
      <c r="AF442" s="232">
        <f t="shared" si="346"/>
        <v>0</v>
      </c>
      <c r="AG442" s="235">
        <f t="shared" si="347"/>
        <v>0</v>
      </c>
      <c r="AH442" s="269">
        <f t="shared" si="348"/>
        <v>0</v>
      </c>
      <c r="AI442" s="232">
        <f t="shared" si="349"/>
        <v>0</v>
      </c>
      <c r="AJ442" s="235">
        <f t="shared" si="350"/>
        <v>0</v>
      </c>
      <c r="AK442" s="269">
        <f t="shared" si="351"/>
        <v>0</v>
      </c>
      <c r="AL442" s="269">
        <f t="shared" si="317"/>
        <v>0</v>
      </c>
      <c r="AM442" s="281" t="e">
        <f>IF(B442&gt;=mpfo,pos*vvm*Dados!$E$122*(ntudv-SUM(U$301:$U443))-SUM($AM$13:AM441),0)</f>
        <v>#DIV/0!</v>
      </c>
      <c r="AN442" s="269" t="e">
        <f t="shared" si="352"/>
        <v>#DIV/0!</v>
      </c>
      <c r="AO442" s="232" t="e">
        <f t="shared" si="353"/>
        <v>#DIV/0!</v>
      </c>
      <c r="AP442" s="242" t="e">
        <f t="shared" si="354"/>
        <v>#DIV/0!</v>
      </c>
      <c r="AQ442" s="235" t="e">
        <f>IF(AP442+SUM($AQ$12:AQ441)&gt;=0,0,-AP442-SUM($AQ$12:AQ441))</f>
        <v>#DIV/0!</v>
      </c>
      <c r="AR442" s="235">
        <f>IF(SUM($N$13:N441)&gt;=pmo,IF(SUM(N441:$N$501)&gt;(1-pmo),B442,0),0)</f>
        <v>0</v>
      </c>
      <c r="AS442" s="235" t="e">
        <f>IF((SUM($U$13:$U441)/ntudv)&gt;=pmv,IF((SUM($U441:$U$501)/ntudv)&gt;(1-pmv),B442,0),0)</f>
        <v>#DIV/0!</v>
      </c>
      <c r="AT442" s="237" t="e">
        <f>IF(MAX(mmo,mmv)=mmo,IF(B442=AR442,(SUM(N$13:$N441)-pmo)/((1-VLOOKUP(MAX(mmo,mmv)-1,$B$13:$O$501,14))+(VLOOKUP(MAX(mmo,mmv)-1,$B$13:$O$501,14)-pmo)),N441/((1-VLOOKUP(MAX(mmo,mmv)-1,$B$13:$O$501,14)+(VLOOKUP(MAX(mmo,mmv)-1,$B$13:$O$501,14)-pmo)))),N441/(1-VLOOKUP(MAX(mmo,mmv)-2,$B$13:$O$501,14)))</f>
        <v>#DIV/0!</v>
      </c>
      <c r="AU442" s="101" t="e">
        <f t="shared" si="318"/>
        <v>#DIV/0!</v>
      </c>
      <c r="AV442" s="287" t="e">
        <f t="shared" si="319"/>
        <v>#DIV/0!</v>
      </c>
      <c r="AW442" s="235" t="e">
        <f t="shared" si="355"/>
        <v>#DIV/0!</v>
      </c>
      <c r="AX442" s="281">
        <f>IF(B442&gt;mpfo,0,IF(B442=mpfo,(vld-teo*(1+tcfo-incc)^(MAX(mmo,mmv)-mbfo))*-1,IF(SUM($N$13:N441)&gt;=pmo,IF(($V441/ntudv)&gt;=pmv,IF(B442=MAX(mmo,mmv),-teo*(1+tcfo-incc)^(B442-mbfo),0),0),0)))</f>
        <v>0</v>
      </c>
      <c r="AY442" s="292" t="e">
        <f t="shared" si="320"/>
        <v>#DIV/0!</v>
      </c>
      <c r="AZ442" s="235" t="e">
        <f t="shared" si="356"/>
        <v>#DIV/0!</v>
      </c>
      <c r="BA442" s="269" t="e">
        <f t="shared" si="357"/>
        <v>#DIV/0!</v>
      </c>
      <c r="BB442" s="292" t="e">
        <f t="shared" si="358"/>
        <v>#DIV/0!</v>
      </c>
      <c r="BC442" s="238" t="e">
        <f>IF(SUM($BC$13:BC441)&gt;0,0,IF(BB442&gt;0,B442,0))</f>
        <v>#DIV/0!</v>
      </c>
      <c r="BD442" s="292" t="e">
        <f>IF(BB442+SUM($BD$12:BD441)&gt;=0,0,-BB442-SUM($BD$12:BD441))</f>
        <v>#DIV/0!</v>
      </c>
      <c r="BE442" s="235" t="e">
        <f>BB442+SUM($BD$12:BD442)</f>
        <v>#DIV/0!</v>
      </c>
      <c r="BF442" s="292" t="e">
        <f>-MIN(BE442:$BE$501)-SUM(BF$12:$BF441)</f>
        <v>#DIV/0!</v>
      </c>
      <c r="BG442" s="235" t="e">
        <f t="shared" si="323"/>
        <v>#DIV/0!</v>
      </c>
    </row>
    <row r="443" spans="2:59">
      <c r="B443" s="120">
        <v>430</v>
      </c>
      <c r="C443" s="241">
        <f t="shared" si="322"/>
        <v>55767</v>
      </c>
      <c r="D443" s="229">
        <f t="shared" si="324"/>
        <v>9</v>
      </c>
      <c r="E443" s="230" t="str">
        <f t="shared" si="325"/>
        <v>-</v>
      </c>
      <c r="F443" s="231">
        <f t="shared" si="326"/>
        <v>0</v>
      </c>
      <c r="G443" s="231">
        <f t="shared" si="327"/>
        <v>0</v>
      </c>
      <c r="H443" s="231">
        <f t="shared" si="328"/>
        <v>0</v>
      </c>
      <c r="I443" s="268">
        <f t="shared" si="313"/>
        <v>0</v>
      </c>
      <c r="J443" s="269">
        <f t="shared" si="329"/>
        <v>0</v>
      </c>
      <c r="K443" s="269">
        <f t="shared" si="330"/>
        <v>0</v>
      </c>
      <c r="L443" s="269">
        <f t="shared" si="314"/>
        <v>0</v>
      </c>
      <c r="M443" s="269">
        <f t="shared" si="315"/>
        <v>0</v>
      </c>
      <c r="N443" s="233">
        <f>VLOOKUP(B443,Dados!$L$86:$P$90,5)</f>
        <v>0</v>
      </c>
      <c r="O443" s="270">
        <f t="shared" si="331"/>
        <v>0.99999999999999989</v>
      </c>
      <c r="P443" s="269">
        <f t="shared" si="332"/>
        <v>0</v>
      </c>
      <c r="Q443" s="269" t="e">
        <f t="shared" si="333"/>
        <v>#DIV/0!</v>
      </c>
      <c r="R443" s="269">
        <f t="shared" si="334"/>
        <v>0</v>
      </c>
      <c r="S443" s="269" t="e">
        <f t="shared" si="335"/>
        <v>#DIV/0!</v>
      </c>
      <c r="T443" s="269" t="e">
        <f t="shared" si="321"/>
        <v>#DIV/0!</v>
      </c>
      <c r="U443" s="234">
        <f t="shared" si="336"/>
        <v>0</v>
      </c>
      <c r="V443" s="232" t="e">
        <f t="shared" si="337"/>
        <v>#DIV/0!</v>
      </c>
      <c r="W443" s="269" t="e">
        <f t="shared" si="338"/>
        <v>#DIV/0!</v>
      </c>
      <c r="X443" s="235">
        <f t="shared" si="316"/>
        <v>0</v>
      </c>
      <c r="Y443" s="236">
        <f t="shared" si="339"/>
        <v>5</v>
      </c>
      <c r="Z443" s="236" t="e">
        <f t="shared" si="340"/>
        <v>#DIV/0!</v>
      </c>
      <c r="AA443" s="236">
        <f t="shared" si="341"/>
        <v>3</v>
      </c>
      <c r="AB443" s="236" t="e">
        <f t="shared" si="342"/>
        <v>#DIV/0!</v>
      </c>
      <c r="AC443" s="235">
        <f t="shared" si="343"/>
        <v>0</v>
      </c>
      <c r="AD443" s="235">
        <f t="shared" si="344"/>
        <v>0</v>
      </c>
      <c r="AE443" s="279">
        <f t="shared" si="345"/>
        <v>0</v>
      </c>
      <c r="AF443" s="232">
        <f t="shared" si="346"/>
        <v>0</v>
      </c>
      <c r="AG443" s="235">
        <f t="shared" si="347"/>
        <v>0</v>
      </c>
      <c r="AH443" s="269">
        <f t="shared" si="348"/>
        <v>0</v>
      </c>
      <c r="AI443" s="232">
        <f t="shared" si="349"/>
        <v>0</v>
      </c>
      <c r="AJ443" s="235">
        <f t="shared" si="350"/>
        <v>0</v>
      </c>
      <c r="AK443" s="269">
        <f t="shared" si="351"/>
        <v>0</v>
      </c>
      <c r="AL443" s="269">
        <f t="shared" si="317"/>
        <v>0</v>
      </c>
      <c r="AM443" s="281" t="e">
        <f>IF(B443&gt;=mpfo,pos*vvm*Dados!$E$122*(ntudv-SUM(U$301:$U444))-SUM($AM$13:AM442),0)</f>
        <v>#DIV/0!</v>
      </c>
      <c r="AN443" s="269" t="e">
        <f t="shared" si="352"/>
        <v>#DIV/0!</v>
      </c>
      <c r="AO443" s="232" t="e">
        <f t="shared" si="353"/>
        <v>#DIV/0!</v>
      </c>
      <c r="AP443" s="242" t="e">
        <f t="shared" si="354"/>
        <v>#DIV/0!</v>
      </c>
      <c r="AQ443" s="235" t="e">
        <f>IF(AP443+SUM($AQ$12:AQ442)&gt;=0,0,-AP443-SUM($AQ$12:AQ442))</f>
        <v>#DIV/0!</v>
      </c>
      <c r="AR443" s="235">
        <f>IF(SUM($N$13:N442)&gt;=pmo,IF(SUM(N442:$N$501)&gt;(1-pmo),B443,0),0)</f>
        <v>0</v>
      </c>
      <c r="AS443" s="235" t="e">
        <f>IF((SUM($U$13:$U442)/ntudv)&gt;=pmv,IF((SUM($U442:$U$501)/ntudv)&gt;(1-pmv),B443,0),0)</f>
        <v>#DIV/0!</v>
      </c>
      <c r="AT443" s="237" t="e">
        <f>IF(MAX(mmo,mmv)=mmo,IF(B443=AR443,(SUM(N$13:$N442)-pmo)/((1-VLOOKUP(MAX(mmo,mmv)-1,$B$13:$O$501,14))+(VLOOKUP(MAX(mmo,mmv)-1,$B$13:$O$501,14)-pmo)),N442/((1-VLOOKUP(MAX(mmo,mmv)-1,$B$13:$O$501,14)+(VLOOKUP(MAX(mmo,mmv)-1,$B$13:$O$501,14)-pmo)))),N442/(1-VLOOKUP(MAX(mmo,mmv)-2,$B$13:$O$501,14)))</f>
        <v>#DIV/0!</v>
      </c>
      <c r="AU443" s="101" t="e">
        <f t="shared" si="318"/>
        <v>#DIV/0!</v>
      </c>
      <c r="AV443" s="287" t="e">
        <f t="shared" si="319"/>
        <v>#DIV/0!</v>
      </c>
      <c r="AW443" s="235" t="e">
        <f t="shared" si="355"/>
        <v>#DIV/0!</v>
      </c>
      <c r="AX443" s="281">
        <f>IF(B443&gt;mpfo,0,IF(B443=mpfo,(vld-teo*(1+tcfo-incc)^(MAX(mmo,mmv)-mbfo))*-1,IF(SUM($N$13:N442)&gt;=pmo,IF(($V442/ntudv)&gt;=pmv,IF(B443=MAX(mmo,mmv),-teo*(1+tcfo-incc)^(B443-mbfo),0),0),0)))</f>
        <v>0</v>
      </c>
      <c r="AY443" s="292" t="e">
        <f t="shared" si="320"/>
        <v>#DIV/0!</v>
      </c>
      <c r="AZ443" s="235" t="e">
        <f t="shared" si="356"/>
        <v>#DIV/0!</v>
      </c>
      <c r="BA443" s="269" t="e">
        <f t="shared" si="357"/>
        <v>#DIV/0!</v>
      </c>
      <c r="BB443" s="292" t="e">
        <f t="shared" si="358"/>
        <v>#DIV/0!</v>
      </c>
      <c r="BC443" s="238" t="e">
        <f>IF(SUM($BC$13:BC442)&gt;0,0,IF(BB443&gt;0,B443,0))</f>
        <v>#DIV/0!</v>
      </c>
      <c r="BD443" s="292" t="e">
        <f>IF(BB443+SUM($BD$12:BD442)&gt;=0,0,-BB443-SUM($BD$12:BD442))</f>
        <v>#DIV/0!</v>
      </c>
      <c r="BE443" s="235" t="e">
        <f>BB443+SUM($BD$12:BD443)</f>
        <v>#DIV/0!</v>
      </c>
      <c r="BF443" s="292" t="e">
        <f>-MIN(BE443:$BE$501)-SUM(BF$12:$BF442)</f>
        <v>#DIV/0!</v>
      </c>
      <c r="BG443" s="235" t="e">
        <f t="shared" si="323"/>
        <v>#DIV/0!</v>
      </c>
    </row>
    <row r="444" spans="2:59">
      <c r="B444" s="246">
        <v>431</v>
      </c>
      <c r="C444" s="241">
        <f t="shared" si="322"/>
        <v>55797</v>
      </c>
      <c r="D444" s="229">
        <f t="shared" si="324"/>
        <v>10</v>
      </c>
      <c r="E444" s="230" t="str">
        <f t="shared" si="325"/>
        <v>-</v>
      </c>
      <c r="F444" s="231">
        <f t="shared" si="326"/>
        <v>0</v>
      </c>
      <c r="G444" s="231">
        <f t="shared" si="327"/>
        <v>0</v>
      </c>
      <c r="H444" s="231">
        <f t="shared" si="328"/>
        <v>0</v>
      </c>
      <c r="I444" s="268">
        <f t="shared" si="313"/>
        <v>0</v>
      </c>
      <c r="J444" s="269">
        <f t="shared" si="329"/>
        <v>0</v>
      </c>
      <c r="K444" s="269">
        <f t="shared" si="330"/>
        <v>0</v>
      </c>
      <c r="L444" s="269">
        <f t="shared" si="314"/>
        <v>0</v>
      </c>
      <c r="M444" s="269">
        <f t="shared" si="315"/>
        <v>0</v>
      </c>
      <c r="N444" s="233">
        <f>VLOOKUP(B444,Dados!$L$86:$P$90,5)</f>
        <v>0</v>
      </c>
      <c r="O444" s="270">
        <f t="shared" si="331"/>
        <v>0.99999999999999989</v>
      </c>
      <c r="P444" s="269">
        <f t="shared" si="332"/>
        <v>0</v>
      </c>
      <c r="Q444" s="269" t="e">
        <f t="shared" si="333"/>
        <v>#DIV/0!</v>
      </c>
      <c r="R444" s="269">
        <f t="shared" si="334"/>
        <v>0</v>
      </c>
      <c r="S444" s="269" t="e">
        <f t="shared" si="335"/>
        <v>#DIV/0!</v>
      </c>
      <c r="T444" s="269" t="e">
        <f t="shared" si="321"/>
        <v>#DIV/0!</v>
      </c>
      <c r="U444" s="234">
        <f t="shared" si="336"/>
        <v>0</v>
      </c>
      <c r="V444" s="232" t="e">
        <f t="shared" si="337"/>
        <v>#DIV/0!</v>
      </c>
      <c r="W444" s="269" t="e">
        <f t="shared" si="338"/>
        <v>#DIV/0!</v>
      </c>
      <c r="X444" s="235">
        <f t="shared" si="316"/>
        <v>0</v>
      </c>
      <c r="Y444" s="236">
        <f t="shared" si="339"/>
        <v>5</v>
      </c>
      <c r="Z444" s="236" t="e">
        <f t="shared" si="340"/>
        <v>#DIV/0!</v>
      </c>
      <c r="AA444" s="236">
        <f t="shared" si="341"/>
        <v>3</v>
      </c>
      <c r="AB444" s="236" t="e">
        <f t="shared" si="342"/>
        <v>#DIV/0!</v>
      </c>
      <c r="AC444" s="235">
        <f t="shared" si="343"/>
        <v>0</v>
      </c>
      <c r="AD444" s="235">
        <f t="shared" si="344"/>
        <v>0</v>
      </c>
      <c r="AE444" s="279">
        <f t="shared" si="345"/>
        <v>0</v>
      </c>
      <c r="AF444" s="232">
        <f t="shared" si="346"/>
        <v>0</v>
      </c>
      <c r="AG444" s="235">
        <f t="shared" si="347"/>
        <v>0</v>
      </c>
      <c r="AH444" s="269">
        <f t="shared" si="348"/>
        <v>0</v>
      </c>
      <c r="AI444" s="232">
        <f t="shared" si="349"/>
        <v>0</v>
      </c>
      <c r="AJ444" s="235">
        <f t="shared" si="350"/>
        <v>0</v>
      </c>
      <c r="AK444" s="269">
        <f t="shared" si="351"/>
        <v>0</v>
      </c>
      <c r="AL444" s="269">
        <f t="shared" si="317"/>
        <v>0</v>
      </c>
      <c r="AM444" s="281" t="e">
        <f>IF(B444&gt;=mpfo,pos*vvm*Dados!$E$122*(ntudv-SUM(U$301:$U445))-SUM($AM$13:AM443),0)</f>
        <v>#DIV/0!</v>
      </c>
      <c r="AN444" s="269" t="e">
        <f t="shared" si="352"/>
        <v>#DIV/0!</v>
      </c>
      <c r="AO444" s="232" t="e">
        <f t="shared" si="353"/>
        <v>#DIV/0!</v>
      </c>
      <c r="AP444" s="242" t="e">
        <f t="shared" si="354"/>
        <v>#DIV/0!</v>
      </c>
      <c r="AQ444" s="235" t="e">
        <f>IF(AP444+SUM($AQ$12:AQ443)&gt;=0,0,-AP444-SUM($AQ$12:AQ443))</f>
        <v>#DIV/0!</v>
      </c>
      <c r="AR444" s="235">
        <f>IF(SUM($N$13:N443)&gt;=pmo,IF(SUM(N443:$N$501)&gt;(1-pmo),B444,0),0)</f>
        <v>0</v>
      </c>
      <c r="AS444" s="235" t="e">
        <f>IF((SUM($U$13:$U443)/ntudv)&gt;=pmv,IF((SUM($U443:$U$501)/ntudv)&gt;(1-pmv),B444,0),0)</f>
        <v>#DIV/0!</v>
      </c>
      <c r="AT444" s="237" t="e">
        <f>IF(MAX(mmo,mmv)=mmo,IF(B444=AR444,(SUM(N$13:$N443)-pmo)/((1-VLOOKUP(MAX(mmo,mmv)-1,$B$13:$O$501,14))+(VLOOKUP(MAX(mmo,mmv)-1,$B$13:$O$501,14)-pmo)),N443/((1-VLOOKUP(MAX(mmo,mmv)-1,$B$13:$O$501,14)+(VLOOKUP(MAX(mmo,mmv)-1,$B$13:$O$501,14)-pmo)))),N443/(1-VLOOKUP(MAX(mmo,mmv)-2,$B$13:$O$501,14)))</f>
        <v>#DIV/0!</v>
      </c>
      <c r="AU444" s="101" t="e">
        <f t="shared" si="318"/>
        <v>#DIV/0!</v>
      </c>
      <c r="AV444" s="287" t="e">
        <f t="shared" si="319"/>
        <v>#DIV/0!</v>
      </c>
      <c r="AW444" s="235" t="e">
        <f t="shared" si="355"/>
        <v>#DIV/0!</v>
      </c>
      <c r="AX444" s="281">
        <f>IF(B444&gt;mpfo,0,IF(B444=mpfo,(vld-teo*(1+tcfo-incc)^(MAX(mmo,mmv)-mbfo))*-1,IF(SUM($N$13:N443)&gt;=pmo,IF(($V443/ntudv)&gt;=pmv,IF(B444=MAX(mmo,mmv),-teo*(1+tcfo-incc)^(B444-mbfo),0),0),0)))</f>
        <v>0</v>
      </c>
      <c r="AY444" s="292" t="e">
        <f t="shared" si="320"/>
        <v>#DIV/0!</v>
      </c>
      <c r="AZ444" s="235" t="e">
        <f t="shared" si="356"/>
        <v>#DIV/0!</v>
      </c>
      <c r="BA444" s="269" t="e">
        <f t="shared" si="357"/>
        <v>#DIV/0!</v>
      </c>
      <c r="BB444" s="292" t="e">
        <f t="shared" si="358"/>
        <v>#DIV/0!</v>
      </c>
      <c r="BC444" s="238" t="e">
        <f>IF(SUM($BC$13:BC443)&gt;0,0,IF(BB444&gt;0,B444,0))</f>
        <v>#DIV/0!</v>
      </c>
      <c r="BD444" s="292" t="e">
        <f>IF(BB444+SUM($BD$12:BD443)&gt;=0,0,-BB444-SUM($BD$12:BD443))</f>
        <v>#DIV/0!</v>
      </c>
      <c r="BE444" s="235" t="e">
        <f>BB444+SUM($BD$12:BD444)</f>
        <v>#DIV/0!</v>
      </c>
      <c r="BF444" s="292" t="e">
        <f>-MIN(BE444:$BE$501)-SUM(BF$12:$BF443)</f>
        <v>#DIV/0!</v>
      </c>
      <c r="BG444" s="235" t="e">
        <f t="shared" si="323"/>
        <v>#DIV/0!</v>
      </c>
    </row>
    <row r="445" spans="2:59">
      <c r="B445" s="120">
        <v>432</v>
      </c>
      <c r="C445" s="241">
        <f t="shared" si="322"/>
        <v>55828</v>
      </c>
      <c r="D445" s="229">
        <f t="shared" si="324"/>
        <v>11</v>
      </c>
      <c r="E445" s="230" t="str">
        <f t="shared" si="325"/>
        <v>-</v>
      </c>
      <c r="F445" s="231">
        <f t="shared" si="326"/>
        <v>0</v>
      </c>
      <c r="G445" s="231">
        <f t="shared" si="327"/>
        <v>0</v>
      </c>
      <c r="H445" s="231">
        <f t="shared" si="328"/>
        <v>0</v>
      </c>
      <c r="I445" s="268">
        <f t="shared" si="313"/>
        <v>0</v>
      </c>
      <c r="J445" s="269">
        <f t="shared" si="329"/>
        <v>0</v>
      </c>
      <c r="K445" s="269">
        <f t="shared" si="330"/>
        <v>0</v>
      </c>
      <c r="L445" s="269">
        <f t="shared" si="314"/>
        <v>0</v>
      </c>
      <c r="M445" s="269">
        <f t="shared" si="315"/>
        <v>0</v>
      </c>
      <c r="N445" s="233">
        <f>VLOOKUP(B445,Dados!$L$86:$P$90,5)</f>
        <v>0</v>
      </c>
      <c r="O445" s="270">
        <f t="shared" si="331"/>
        <v>0.99999999999999989</v>
      </c>
      <c r="P445" s="269">
        <f t="shared" si="332"/>
        <v>0</v>
      </c>
      <c r="Q445" s="269" t="e">
        <f t="shared" si="333"/>
        <v>#DIV/0!</v>
      </c>
      <c r="R445" s="269">
        <f t="shared" si="334"/>
        <v>0</v>
      </c>
      <c r="S445" s="269" t="e">
        <f t="shared" si="335"/>
        <v>#DIV/0!</v>
      </c>
      <c r="T445" s="269" t="e">
        <f t="shared" si="321"/>
        <v>#DIV/0!</v>
      </c>
      <c r="U445" s="234">
        <f t="shared" si="336"/>
        <v>0</v>
      </c>
      <c r="V445" s="232" t="e">
        <f t="shared" si="337"/>
        <v>#DIV/0!</v>
      </c>
      <c r="W445" s="269" t="e">
        <f t="shared" si="338"/>
        <v>#DIV/0!</v>
      </c>
      <c r="X445" s="235">
        <f t="shared" si="316"/>
        <v>0</v>
      </c>
      <c r="Y445" s="236">
        <f t="shared" si="339"/>
        <v>5</v>
      </c>
      <c r="Z445" s="236" t="e">
        <f t="shared" si="340"/>
        <v>#DIV/0!</v>
      </c>
      <c r="AA445" s="236">
        <f t="shared" si="341"/>
        <v>3</v>
      </c>
      <c r="AB445" s="236" t="e">
        <f t="shared" si="342"/>
        <v>#DIV/0!</v>
      </c>
      <c r="AC445" s="235">
        <f t="shared" si="343"/>
        <v>0</v>
      </c>
      <c r="AD445" s="235">
        <f t="shared" si="344"/>
        <v>0</v>
      </c>
      <c r="AE445" s="279">
        <f t="shared" si="345"/>
        <v>0</v>
      </c>
      <c r="AF445" s="232">
        <f t="shared" si="346"/>
        <v>0</v>
      </c>
      <c r="AG445" s="235">
        <f t="shared" si="347"/>
        <v>0</v>
      </c>
      <c r="AH445" s="269">
        <f t="shared" si="348"/>
        <v>0</v>
      </c>
      <c r="AI445" s="232">
        <f t="shared" si="349"/>
        <v>0</v>
      </c>
      <c r="AJ445" s="235">
        <f t="shared" si="350"/>
        <v>0</v>
      </c>
      <c r="AK445" s="269">
        <f t="shared" si="351"/>
        <v>0</v>
      </c>
      <c r="AL445" s="269">
        <f t="shared" si="317"/>
        <v>0</v>
      </c>
      <c r="AM445" s="281" t="e">
        <f>IF(B445&gt;=mpfo,pos*vvm*Dados!$E$122*(ntudv-SUM(U$301:$U446))-SUM($AM$13:AM444),0)</f>
        <v>#DIV/0!</v>
      </c>
      <c r="AN445" s="269" t="e">
        <f t="shared" si="352"/>
        <v>#DIV/0!</v>
      </c>
      <c r="AO445" s="232" t="e">
        <f t="shared" si="353"/>
        <v>#DIV/0!</v>
      </c>
      <c r="AP445" s="242" t="e">
        <f t="shared" si="354"/>
        <v>#DIV/0!</v>
      </c>
      <c r="AQ445" s="235" t="e">
        <f>IF(AP445+SUM($AQ$12:AQ444)&gt;=0,0,-AP445-SUM($AQ$12:AQ444))</f>
        <v>#DIV/0!</v>
      </c>
      <c r="AR445" s="235">
        <f>IF(SUM($N$13:N444)&gt;=pmo,IF(SUM(N444:$N$501)&gt;(1-pmo),B445,0),0)</f>
        <v>0</v>
      </c>
      <c r="AS445" s="235" t="e">
        <f>IF((SUM($U$13:$U444)/ntudv)&gt;=pmv,IF((SUM($U444:$U$501)/ntudv)&gt;(1-pmv),B445,0),0)</f>
        <v>#DIV/0!</v>
      </c>
      <c r="AT445" s="237" t="e">
        <f>IF(MAX(mmo,mmv)=mmo,IF(B445=AR445,(SUM(N$13:$N444)-pmo)/((1-VLOOKUP(MAX(mmo,mmv)-1,$B$13:$O$501,14))+(VLOOKUP(MAX(mmo,mmv)-1,$B$13:$O$501,14)-pmo)),N444/((1-VLOOKUP(MAX(mmo,mmv)-1,$B$13:$O$501,14)+(VLOOKUP(MAX(mmo,mmv)-1,$B$13:$O$501,14)-pmo)))),N444/(1-VLOOKUP(MAX(mmo,mmv)-2,$B$13:$O$501,14)))</f>
        <v>#DIV/0!</v>
      </c>
      <c r="AU445" s="101" t="e">
        <f t="shared" si="318"/>
        <v>#DIV/0!</v>
      </c>
      <c r="AV445" s="287" t="e">
        <f t="shared" si="319"/>
        <v>#DIV/0!</v>
      </c>
      <c r="AW445" s="235" t="e">
        <f t="shared" si="355"/>
        <v>#DIV/0!</v>
      </c>
      <c r="AX445" s="281">
        <f>IF(B445&gt;mpfo,0,IF(B445=mpfo,(vld-teo*(1+tcfo-incc)^(MAX(mmo,mmv)-mbfo))*-1,IF(SUM($N$13:N444)&gt;=pmo,IF(($V444/ntudv)&gt;=pmv,IF(B445=MAX(mmo,mmv),-teo*(1+tcfo-incc)^(B445-mbfo),0),0),0)))</f>
        <v>0</v>
      </c>
      <c r="AY445" s="292" t="e">
        <f t="shared" si="320"/>
        <v>#DIV/0!</v>
      </c>
      <c r="AZ445" s="235" t="e">
        <f t="shared" si="356"/>
        <v>#DIV/0!</v>
      </c>
      <c r="BA445" s="269" t="e">
        <f t="shared" si="357"/>
        <v>#DIV/0!</v>
      </c>
      <c r="BB445" s="292" t="e">
        <f t="shared" si="358"/>
        <v>#DIV/0!</v>
      </c>
      <c r="BC445" s="238" t="e">
        <f>IF(SUM($BC$13:BC444)&gt;0,0,IF(BB445&gt;0,B445,0))</f>
        <v>#DIV/0!</v>
      </c>
      <c r="BD445" s="292" t="e">
        <f>IF(BB445+SUM($BD$12:BD444)&gt;=0,0,-BB445-SUM($BD$12:BD444))</f>
        <v>#DIV/0!</v>
      </c>
      <c r="BE445" s="235" t="e">
        <f>BB445+SUM($BD$12:BD445)</f>
        <v>#DIV/0!</v>
      </c>
      <c r="BF445" s="292" t="e">
        <f>-MIN(BE445:$BE$501)-SUM(BF$12:$BF444)</f>
        <v>#DIV/0!</v>
      </c>
      <c r="BG445" s="235" t="e">
        <f t="shared" si="323"/>
        <v>#DIV/0!</v>
      </c>
    </row>
    <row r="446" spans="2:59">
      <c r="B446" s="246">
        <v>433</v>
      </c>
      <c r="C446" s="241">
        <f t="shared" si="322"/>
        <v>55858</v>
      </c>
      <c r="D446" s="229">
        <f t="shared" si="324"/>
        <v>12</v>
      </c>
      <c r="E446" s="230" t="str">
        <f t="shared" si="325"/>
        <v>-</v>
      </c>
      <c r="F446" s="231">
        <f t="shared" si="326"/>
        <v>0</v>
      </c>
      <c r="G446" s="231">
        <f t="shared" si="327"/>
        <v>0</v>
      </c>
      <c r="H446" s="231">
        <f t="shared" si="328"/>
        <v>0</v>
      </c>
      <c r="I446" s="268">
        <f t="shared" si="313"/>
        <v>0</v>
      </c>
      <c r="J446" s="269">
        <f t="shared" si="329"/>
        <v>0</v>
      </c>
      <c r="K446" s="269">
        <f t="shared" si="330"/>
        <v>0</v>
      </c>
      <c r="L446" s="269">
        <f t="shared" si="314"/>
        <v>0</v>
      </c>
      <c r="M446" s="269">
        <f t="shared" si="315"/>
        <v>0</v>
      </c>
      <c r="N446" s="233">
        <f>VLOOKUP(B446,Dados!$L$86:$P$90,5)</f>
        <v>0</v>
      </c>
      <c r="O446" s="270">
        <f t="shared" si="331"/>
        <v>0.99999999999999989</v>
      </c>
      <c r="P446" s="269">
        <f t="shared" si="332"/>
        <v>0</v>
      </c>
      <c r="Q446" s="269" t="e">
        <f t="shared" si="333"/>
        <v>#DIV/0!</v>
      </c>
      <c r="R446" s="269">
        <f t="shared" si="334"/>
        <v>0</v>
      </c>
      <c r="S446" s="269" t="e">
        <f t="shared" si="335"/>
        <v>#DIV/0!</v>
      </c>
      <c r="T446" s="269" t="e">
        <f t="shared" si="321"/>
        <v>#DIV/0!</v>
      </c>
      <c r="U446" s="234">
        <f t="shared" si="336"/>
        <v>0</v>
      </c>
      <c r="V446" s="232" t="e">
        <f t="shared" si="337"/>
        <v>#DIV/0!</v>
      </c>
      <c r="W446" s="269" t="e">
        <f t="shared" si="338"/>
        <v>#DIV/0!</v>
      </c>
      <c r="X446" s="235">
        <f t="shared" si="316"/>
        <v>0</v>
      </c>
      <c r="Y446" s="236">
        <f t="shared" si="339"/>
        <v>5</v>
      </c>
      <c r="Z446" s="236" t="e">
        <f t="shared" si="340"/>
        <v>#DIV/0!</v>
      </c>
      <c r="AA446" s="236">
        <f t="shared" si="341"/>
        <v>3</v>
      </c>
      <c r="AB446" s="236" t="e">
        <f t="shared" si="342"/>
        <v>#DIV/0!</v>
      </c>
      <c r="AC446" s="235">
        <f t="shared" si="343"/>
        <v>0</v>
      </c>
      <c r="AD446" s="235">
        <f t="shared" si="344"/>
        <v>0</v>
      </c>
      <c r="AE446" s="279">
        <f t="shared" si="345"/>
        <v>0</v>
      </c>
      <c r="AF446" s="232">
        <f t="shared" si="346"/>
        <v>1</v>
      </c>
      <c r="AG446" s="235">
        <f t="shared" si="347"/>
        <v>0</v>
      </c>
      <c r="AH446" s="269">
        <f t="shared" si="348"/>
        <v>0</v>
      </c>
      <c r="AI446" s="232">
        <f t="shared" si="349"/>
        <v>1</v>
      </c>
      <c r="AJ446" s="235">
        <f t="shared" si="350"/>
        <v>0</v>
      </c>
      <c r="AK446" s="269">
        <f t="shared" si="351"/>
        <v>0</v>
      </c>
      <c r="AL446" s="269">
        <f t="shared" si="317"/>
        <v>0</v>
      </c>
      <c r="AM446" s="281" t="e">
        <f>IF(B446&gt;=mpfo,pos*vvm*Dados!$E$122*(ntudv-SUM(U$301:$U447))-SUM($AM$13:AM445),0)</f>
        <v>#DIV/0!</v>
      </c>
      <c r="AN446" s="269" t="e">
        <f t="shared" si="352"/>
        <v>#DIV/0!</v>
      </c>
      <c r="AO446" s="232" t="e">
        <f t="shared" si="353"/>
        <v>#DIV/0!</v>
      </c>
      <c r="AP446" s="242" t="e">
        <f t="shared" si="354"/>
        <v>#DIV/0!</v>
      </c>
      <c r="AQ446" s="235" t="e">
        <f>IF(AP446+SUM($AQ$12:AQ445)&gt;=0,0,-AP446-SUM($AQ$12:AQ445))</f>
        <v>#DIV/0!</v>
      </c>
      <c r="AR446" s="235">
        <f>IF(SUM($N$13:N445)&gt;=pmo,IF(SUM(N445:$N$501)&gt;(1-pmo),B446,0),0)</f>
        <v>0</v>
      </c>
      <c r="AS446" s="235" t="e">
        <f>IF((SUM($U$13:$U445)/ntudv)&gt;=pmv,IF((SUM($U445:$U$501)/ntudv)&gt;(1-pmv),B446,0),0)</f>
        <v>#DIV/0!</v>
      </c>
      <c r="AT446" s="237" t="e">
        <f>IF(MAX(mmo,mmv)=mmo,IF(B446=AR446,(SUM(N$13:$N445)-pmo)/((1-VLOOKUP(MAX(mmo,mmv)-1,$B$13:$O$501,14))+(VLOOKUP(MAX(mmo,mmv)-1,$B$13:$O$501,14)-pmo)),N445/((1-VLOOKUP(MAX(mmo,mmv)-1,$B$13:$O$501,14)+(VLOOKUP(MAX(mmo,mmv)-1,$B$13:$O$501,14)-pmo)))),N445/(1-VLOOKUP(MAX(mmo,mmv)-2,$B$13:$O$501,14)))</f>
        <v>#DIV/0!</v>
      </c>
      <c r="AU446" s="101" t="e">
        <f t="shared" si="318"/>
        <v>#DIV/0!</v>
      </c>
      <c r="AV446" s="287" t="e">
        <f t="shared" si="319"/>
        <v>#DIV/0!</v>
      </c>
      <c r="AW446" s="235" t="e">
        <f t="shared" si="355"/>
        <v>#DIV/0!</v>
      </c>
      <c r="AX446" s="281">
        <f>IF(B446&gt;mpfo,0,IF(B446=mpfo,(vld-teo*(1+tcfo-incc)^(MAX(mmo,mmv)-mbfo))*-1,IF(SUM($N$13:N445)&gt;=pmo,IF(($V445/ntudv)&gt;=pmv,IF(B446=MAX(mmo,mmv),-teo*(1+tcfo-incc)^(B446-mbfo),0),0),0)))</f>
        <v>0</v>
      </c>
      <c r="AY446" s="292" t="e">
        <f t="shared" si="320"/>
        <v>#DIV/0!</v>
      </c>
      <c r="AZ446" s="235" t="e">
        <f t="shared" si="356"/>
        <v>#DIV/0!</v>
      </c>
      <c r="BA446" s="269" t="e">
        <f t="shared" si="357"/>
        <v>#DIV/0!</v>
      </c>
      <c r="BB446" s="292" t="e">
        <f t="shared" si="358"/>
        <v>#DIV/0!</v>
      </c>
      <c r="BC446" s="238" t="e">
        <f>IF(SUM($BC$13:BC445)&gt;0,0,IF(BB446&gt;0,B446,0))</f>
        <v>#DIV/0!</v>
      </c>
      <c r="BD446" s="292" t="e">
        <f>IF(BB446+SUM($BD$12:BD445)&gt;=0,0,-BB446-SUM($BD$12:BD445))</f>
        <v>#DIV/0!</v>
      </c>
      <c r="BE446" s="235" t="e">
        <f>BB446+SUM($BD$12:BD446)</f>
        <v>#DIV/0!</v>
      </c>
      <c r="BF446" s="292" t="e">
        <f>-MIN(BE446:$BE$501)-SUM(BF$12:$BF445)</f>
        <v>#DIV/0!</v>
      </c>
      <c r="BG446" s="235" t="e">
        <f t="shared" si="323"/>
        <v>#DIV/0!</v>
      </c>
    </row>
    <row r="447" spans="2:59">
      <c r="B447" s="120">
        <v>434</v>
      </c>
      <c r="C447" s="241">
        <f t="shared" si="322"/>
        <v>55889</v>
      </c>
      <c r="D447" s="229">
        <f t="shared" si="324"/>
        <v>1</v>
      </c>
      <c r="E447" s="230" t="str">
        <f t="shared" si="325"/>
        <v>-</v>
      </c>
      <c r="F447" s="231">
        <f t="shared" si="326"/>
        <v>0</v>
      </c>
      <c r="G447" s="231">
        <f t="shared" si="327"/>
        <v>0</v>
      </c>
      <c r="H447" s="231">
        <f t="shared" si="328"/>
        <v>0</v>
      </c>
      <c r="I447" s="268">
        <f t="shared" si="313"/>
        <v>0</v>
      </c>
      <c r="J447" s="269">
        <f t="shared" si="329"/>
        <v>0</v>
      </c>
      <c r="K447" s="269">
        <f t="shared" si="330"/>
        <v>0</v>
      </c>
      <c r="L447" s="269">
        <f t="shared" si="314"/>
        <v>0</v>
      </c>
      <c r="M447" s="269">
        <f t="shared" si="315"/>
        <v>0</v>
      </c>
      <c r="N447" s="233">
        <f>VLOOKUP(B447,Dados!$L$86:$P$90,5)</f>
        <v>0</v>
      </c>
      <c r="O447" s="270">
        <f t="shared" si="331"/>
        <v>0.99999999999999989</v>
      </c>
      <c r="P447" s="269">
        <f t="shared" si="332"/>
        <v>0</v>
      </c>
      <c r="Q447" s="269" t="e">
        <f t="shared" si="333"/>
        <v>#DIV/0!</v>
      </c>
      <c r="R447" s="269">
        <f t="shared" si="334"/>
        <v>0</v>
      </c>
      <c r="S447" s="269" t="e">
        <f t="shared" si="335"/>
        <v>#DIV/0!</v>
      </c>
      <c r="T447" s="269" t="e">
        <f t="shared" si="321"/>
        <v>#DIV/0!</v>
      </c>
      <c r="U447" s="234">
        <f t="shared" si="336"/>
        <v>0</v>
      </c>
      <c r="V447" s="232" t="e">
        <f t="shared" si="337"/>
        <v>#DIV/0!</v>
      </c>
      <c r="W447" s="269" t="e">
        <f t="shared" si="338"/>
        <v>#DIV/0!</v>
      </c>
      <c r="X447" s="235">
        <f t="shared" si="316"/>
        <v>0</v>
      </c>
      <c r="Y447" s="236">
        <f t="shared" si="339"/>
        <v>5</v>
      </c>
      <c r="Z447" s="236" t="e">
        <f t="shared" si="340"/>
        <v>#DIV/0!</v>
      </c>
      <c r="AA447" s="236">
        <f t="shared" si="341"/>
        <v>3</v>
      </c>
      <c r="AB447" s="236" t="e">
        <f t="shared" si="342"/>
        <v>#DIV/0!</v>
      </c>
      <c r="AC447" s="235">
        <f t="shared" si="343"/>
        <v>0</v>
      </c>
      <c r="AD447" s="235">
        <f t="shared" si="344"/>
        <v>0</v>
      </c>
      <c r="AE447" s="279">
        <f t="shared" si="345"/>
        <v>0</v>
      </c>
      <c r="AF447" s="232">
        <f t="shared" si="346"/>
        <v>0</v>
      </c>
      <c r="AG447" s="235">
        <f t="shared" si="347"/>
        <v>0</v>
      </c>
      <c r="AH447" s="269">
        <f t="shared" si="348"/>
        <v>0</v>
      </c>
      <c r="AI447" s="232">
        <f t="shared" si="349"/>
        <v>0</v>
      </c>
      <c r="AJ447" s="235">
        <f t="shared" si="350"/>
        <v>0</v>
      </c>
      <c r="AK447" s="269">
        <f t="shared" si="351"/>
        <v>0</v>
      </c>
      <c r="AL447" s="269">
        <f t="shared" si="317"/>
        <v>0</v>
      </c>
      <c r="AM447" s="281" t="e">
        <f>IF(B447&gt;=mpfo,pos*vvm*Dados!$E$122*(ntudv-SUM(U$301:$U448))-SUM($AM$13:AM446),0)</f>
        <v>#DIV/0!</v>
      </c>
      <c r="AN447" s="269" t="e">
        <f t="shared" si="352"/>
        <v>#DIV/0!</v>
      </c>
      <c r="AO447" s="232" t="e">
        <f t="shared" si="353"/>
        <v>#DIV/0!</v>
      </c>
      <c r="AP447" s="242" t="e">
        <f t="shared" si="354"/>
        <v>#DIV/0!</v>
      </c>
      <c r="AQ447" s="235" t="e">
        <f>IF(AP447+SUM($AQ$12:AQ446)&gt;=0,0,-AP447-SUM($AQ$12:AQ446))</f>
        <v>#DIV/0!</v>
      </c>
      <c r="AR447" s="235">
        <f>IF(SUM($N$13:N446)&gt;=pmo,IF(SUM(N446:$N$501)&gt;(1-pmo),B447,0),0)</f>
        <v>0</v>
      </c>
      <c r="AS447" s="235" t="e">
        <f>IF((SUM($U$13:$U446)/ntudv)&gt;=pmv,IF((SUM($U446:$U$501)/ntudv)&gt;(1-pmv),B447,0),0)</f>
        <v>#DIV/0!</v>
      </c>
      <c r="AT447" s="237" t="e">
        <f>IF(MAX(mmo,mmv)=mmo,IF(B447=AR447,(SUM(N$13:$N446)-pmo)/((1-VLOOKUP(MAX(mmo,mmv)-1,$B$13:$O$501,14))+(VLOOKUP(MAX(mmo,mmv)-1,$B$13:$O$501,14)-pmo)),N446/((1-VLOOKUP(MAX(mmo,mmv)-1,$B$13:$O$501,14)+(VLOOKUP(MAX(mmo,mmv)-1,$B$13:$O$501,14)-pmo)))),N446/(1-VLOOKUP(MAX(mmo,mmv)-2,$B$13:$O$501,14)))</f>
        <v>#DIV/0!</v>
      </c>
      <c r="AU447" s="101" t="e">
        <f t="shared" si="318"/>
        <v>#DIV/0!</v>
      </c>
      <c r="AV447" s="287" t="e">
        <f t="shared" si="319"/>
        <v>#DIV/0!</v>
      </c>
      <c r="AW447" s="235" t="e">
        <f t="shared" si="355"/>
        <v>#DIV/0!</v>
      </c>
      <c r="AX447" s="281">
        <f>IF(B447&gt;mpfo,0,IF(B447=mpfo,(vld-teo*(1+tcfo-incc)^(MAX(mmo,mmv)-mbfo))*-1,IF(SUM($N$13:N446)&gt;=pmo,IF(($V446/ntudv)&gt;=pmv,IF(B447=MAX(mmo,mmv),-teo*(1+tcfo-incc)^(B447-mbfo),0),0),0)))</f>
        <v>0</v>
      </c>
      <c r="AY447" s="292" t="e">
        <f t="shared" si="320"/>
        <v>#DIV/0!</v>
      </c>
      <c r="AZ447" s="235" t="e">
        <f t="shared" si="356"/>
        <v>#DIV/0!</v>
      </c>
      <c r="BA447" s="269" t="e">
        <f t="shared" si="357"/>
        <v>#DIV/0!</v>
      </c>
      <c r="BB447" s="292" t="e">
        <f t="shared" si="358"/>
        <v>#DIV/0!</v>
      </c>
      <c r="BC447" s="238" t="e">
        <f>IF(SUM($BC$13:BC446)&gt;0,0,IF(BB447&gt;0,B447,0))</f>
        <v>#DIV/0!</v>
      </c>
      <c r="BD447" s="292" t="e">
        <f>IF(BB447+SUM($BD$12:BD446)&gt;=0,0,-BB447-SUM($BD$12:BD446))</f>
        <v>#DIV/0!</v>
      </c>
      <c r="BE447" s="235" t="e">
        <f>BB447+SUM($BD$12:BD447)</f>
        <v>#DIV/0!</v>
      </c>
      <c r="BF447" s="292" t="e">
        <f>-MIN(BE447:$BE$501)-SUM(BF$12:$BF446)</f>
        <v>#DIV/0!</v>
      </c>
      <c r="BG447" s="235" t="e">
        <f t="shared" si="323"/>
        <v>#DIV/0!</v>
      </c>
    </row>
    <row r="448" spans="2:59">
      <c r="B448" s="246">
        <v>435</v>
      </c>
      <c r="C448" s="241">
        <f t="shared" si="322"/>
        <v>55920</v>
      </c>
      <c r="D448" s="229">
        <f t="shared" si="324"/>
        <v>2</v>
      </c>
      <c r="E448" s="230" t="str">
        <f t="shared" si="325"/>
        <v>-</v>
      </c>
      <c r="F448" s="231">
        <f t="shared" si="326"/>
        <v>0</v>
      </c>
      <c r="G448" s="231">
        <f t="shared" si="327"/>
        <v>0</v>
      </c>
      <c r="H448" s="231">
        <f t="shared" si="328"/>
        <v>0</v>
      </c>
      <c r="I448" s="268">
        <f t="shared" si="313"/>
        <v>0</v>
      </c>
      <c r="J448" s="269">
        <f t="shared" si="329"/>
        <v>0</v>
      </c>
      <c r="K448" s="269">
        <f t="shared" si="330"/>
        <v>0</v>
      </c>
      <c r="L448" s="269">
        <f t="shared" si="314"/>
        <v>0</v>
      </c>
      <c r="M448" s="269">
        <f t="shared" si="315"/>
        <v>0</v>
      </c>
      <c r="N448" s="233">
        <f>VLOOKUP(B448,Dados!$L$86:$P$90,5)</f>
        <v>0</v>
      </c>
      <c r="O448" s="270">
        <f t="shared" si="331"/>
        <v>0.99999999999999989</v>
      </c>
      <c r="P448" s="269">
        <f t="shared" si="332"/>
        <v>0</v>
      </c>
      <c r="Q448" s="269" t="e">
        <f t="shared" si="333"/>
        <v>#DIV/0!</v>
      </c>
      <c r="R448" s="269">
        <f t="shared" si="334"/>
        <v>0</v>
      </c>
      <c r="S448" s="269" t="e">
        <f t="shared" si="335"/>
        <v>#DIV/0!</v>
      </c>
      <c r="T448" s="269" t="e">
        <f t="shared" si="321"/>
        <v>#DIV/0!</v>
      </c>
      <c r="U448" s="234">
        <f t="shared" si="336"/>
        <v>0</v>
      </c>
      <c r="V448" s="232" t="e">
        <f t="shared" si="337"/>
        <v>#DIV/0!</v>
      </c>
      <c r="W448" s="269" t="e">
        <f t="shared" si="338"/>
        <v>#DIV/0!</v>
      </c>
      <c r="X448" s="235">
        <f t="shared" si="316"/>
        <v>0</v>
      </c>
      <c r="Y448" s="236">
        <f t="shared" si="339"/>
        <v>5</v>
      </c>
      <c r="Z448" s="236" t="e">
        <f t="shared" si="340"/>
        <v>#DIV/0!</v>
      </c>
      <c r="AA448" s="236">
        <f t="shared" si="341"/>
        <v>3</v>
      </c>
      <c r="AB448" s="236" t="e">
        <f t="shared" si="342"/>
        <v>#DIV/0!</v>
      </c>
      <c r="AC448" s="235">
        <f t="shared" si="343"/>
        <v>0</v>
      </c>
      <c r="AD448" s="235">
        <f t="shared" si="344"/>
        <v>0</v>
      </c>
      <c r="AE448" s="279">
        <f t="shared" si="345"/>
        <v>0</v>
      </c>
      <c r="AF448" s="232">
        <f t="shared" si="346"/>
        <v>0</v>
      </c>
      <c r="AG448" s="235">
        <f t="shared" si="347"/>
        <v>0</v>
      </c>
      <c r="AH448" s="269">
        <f t="shared" si="348"/>
        <v>0</v>
      </c>
      <c r="AI448" s="232">
        <f t="shared" si="349"/>
        <v>0</v>
      </c>
      <c r="AJ448" s="235">
        <f t="shared" si="350"/>
        <v>0</v>
      </c>
      <c r="AK448" s="269">
        <f t="shared" si="351"/>
        <v>0</v>
      </c>
      <c r="AL448" s="269">
        <f t="shared" si="317"/>
        <v>0</v>
      </c>
      <c r="AM448" s="281" t="e">
        <f>IF(B448&gt;=mpfo,pos*vvm*Dados!$E$122*(ntudv-SUM(U$301:$U449))-SUM($AM$13:AM447),0)</f>
        <v>#DIV/0!</v>
      </c>
      <c r="AN448" s="269" t="e">
        <f t="shared" si="352"/>
        <v>#DIV/0!</v>
      </c>
      <c r="AO448" s="232" t="e">
        <f t="shared" si="353"/>
        <v>#DIV/0!</v>
      </c>
      <c r="AP448" s="242" t="e">
        <f t="shared" si="354"/>
        <v>#DIV/0!</v>
      </c>
      <c r="AQ448" s="235" t="e">
        <f>IF(AP448+SUM($AQ$12:AQ447)&gt;=0,0,-AP448-SUM($AQ$12:AQ447))</f>
        <v>#DIV/0!</v>
      </c>
      <c r="AR448" s="235">
        <f>IF(SUM($N$13:N447)&gt;=pmo,IF(SUM(N447:$N$501)&gt;(1-pmo),B448,0),0)</f>
        <v>0</v>
      </c>
      <c r="AS448" s="235" t="e">
        <f>IF((SUM($U$13:$U447)/ntudv)&gt;=pmv,IF((SUM($U447:$U$501)/ntudv)&gt;(1-pmv),B448,0),0)</f>
        <v>#DIV/0!</v>
      </c>
      <c r="AT448" s="237" t="e">
        <f>IF(MAX(mmo,mmv)=mmo,IF(B448=AR448,(SUM(N$13:$N447)-pmo)/((1-VLOOKUP(MAX(mmo,mmv)-1,$B$13:$O$501,14))+(VLOOKUP(MAX(mmo,mmv)-1,$B$13:$O$501,14)-pmo)),N447/((1-VLOOKUP(MAX(mmo,mmv)-1,$B$13:$O$501,14)+(VLOOKUP(MAX(mmo,mmv)-1,$B$13:$O$501,14)-pmo)))),N447/(1-VLOOKUP(MAX(mmo,mmv)-2,$B$13:$O$501,14)))</f>
        <v>#DIV/0!</v>
      </c>
      <c r="AU448" s="101" t="e">
        <f t="shared" si="318"/>
        <v>#DIV/0!</v>
      </c>
      <c r="AV448" s="287" t="e">
        <f t="shared" si="319"/>
        <v>#DIV/0!</v>
      </c>
      <c r="AW448" s="235" t="e">
        <f t="shared" si="355"/>
        <v>#DIV/0!</v>
      </c>
      <c r="AX448" s="281">
        <f>IF(B448&gt;mpfo,0,IF(B448=mpfo,(vld-teo*(1+tcfo-incc)^(MAX(mmo,mmv)-mbfo))*-1,IF(SUM($N$13:N447)&gt;=pmo,IF(($V447/ntudv)&gt;=pmv,IF(B448=MAX(mmo,mmv),-teo*(1+tcfo-incc)^(B448-mbfo),0),0),0)))</f>
        <v>0</v>
      </c>
      <c r="AY448" s="292" t="e">
        <f t="shared" si="320"/>
        <v>#DIV/0!</v>
      </c>
      <c r="AZ448" s="235" t="e">
        <f t="shared" si="356"/>
        <v>#DIV/0!</v>
      </c>
      <c r="BA448" s="269" t="e">
        <f t="shared" si="357"/>
        <v>#DIV/0!</v>
      </c>
      <c r="BB448" s="292" t="e">
        <f t="shared" si="358"/>
        <v>#DIV/0!</v>
      </c>
      <c r="BC448" s="238" t="e">
        <f>IF(SUM($BC$13:BC447)&gt;0,0,IF(BB448&gt;0,B448,0))</f>
        <v>#DIV/0!</v>
      </c>
      <c r="BD448" s="292" t="e">
        <f>IF(BB448+SUM($BD$12:BD447)&gt;=0,0,-BB448-SUM($BD$12:BD447))</f>
        <v>#DIV/0!</v>
      </c>
      <c r="BE448" s="235" t="e">
        <f>BB448+SUM($BD$12:BD448)</f>
        <v>#DIV/0!</v>
      </c>
      <c r="BF448" s="292" t="e">
        <f>-MIN(BE448:$BE$501)-SUM(BF$12:$BF447)</f>
        <v>#DIV/0!</v>
      </c>
      <c r="BG448" s="235" t="e">
        <f t="shared" si="323"/>
        <v>#DIV/0!</v>
      </c>
    </row>
    <row r="449" spans="2:59">
      <c r="B449" s="120">
        <v>436</v>
      </c>
      <c r="C449" s="241">
        <f t="shared" si="322"/>
        <v>55948</v>
      </c>
      <c r="D449" s="229">
        <f t="shared" si="324"/>
        <v>3</v>
      </c>
      <c r="E449" s="230" t="str">
        <f t="shared" si="325"/>
        <v>-</v>
      </c>
      <c r="F449" s="231">
        <f t="shared" si="326"/>
        <v>0</v>
      </c>
      <c r="G449" s="231">
        <f t="shared" si="327"/>
        <v>0</v>
      </c>
      <c r="H449" s="231">
        <f t="shared" si="328"/>
        <v>0</v>
      </c>
      <c r="I449" s="268">
        <f t="shared" si="313"/>
        <v>0</v>
      </c>
      <c r="J449" s="269">
        <f t="shared" si="329"/>
        <v>0</v>
      </c>
      <c r="K449" s="269">
        <f t="shared" si="330"/>
        <v>0</v>
      </c>
      <c r="L449" s="269">
        <f t="shared" si="314"/>
        <v>0</v>
      </c>
      <c r="M449" s="269">
        <f t="shared" si="315"/>
        <v>0</v>
      </c>
      <c r="N449" s="233">
        <f>VLOOKUP(B449,Dados!$L$86:$P$90,5)</f>
        <v>0</v>
      </c>
      <c r="O449" s="270">
        <f t="shared" si="331"/>
        <v>0.99999999999999989</v>
      </c>
      <c r="P449" s="269">
        <f t="shared" si="332"/>
        <v>0</v>
      </c>
      <c r="Q449" s="269" t="e">
        <f t="shared" si="333"/>
        <v>#DIV/0!</v>
      </c>
      <c r="R449" s="269">
        <f t="shared" si="334"/>
        <v>0</v>
      </c>
      <c r="S449" s="269" t="e">
        <f t="shared" si="335"/>
        <v>#DIV/0!</v>
      </c>
      <c r="T449" s="269" t="e">
        <f t="shared" si="321"/>
        <v>#DIV/0!</v>
      </c>
      <c r="U449" s="234">
        <f t="shared" si="336"/>
        <v>0</v>
      </c>
      <c r="V449" s="232" t="e">
        <f t="shared" si="337"/>
        <v>#DIV/0!</v>
      </c>
      <c r="W449" s="269" t="e">
        <f t="shared" si="338"/>
        <v>#DIV/0!</v>
      </c>
      <c r="X449" s="235">
        <f t="shared" si="316"/>
        <v>0</v>
      </c>
      <c r="Y449" s="236">
        <f t="shared" si="339"/>
        <v>5</v>
      </c>
      <c r="Z449" s="236" t="e">
        <f t="shared" si="340"/>
        <v>#DIV/0!</v>
      </c>
      <c r="AA449" s="236">
        <f t="shared" si="341"/>
        <v>3</v>
      </c>
      <c r="AB449" s="236" t="e">
        <f t="shared" si="342"/>
        <v>#DIV/0!</v>
      </c>
      <c r="AC449" s="235">
        <f t="shared" si="343"/>
        <v>0</v>
      </c>
      <c r="AD449" s="235">
        <f t="shared" si="344"/>
        <v>0</v>
      </c>
      <c r="AE449" s="279">
        <f t="shared" si="345"/>
        <v>0</v>
      </c>
      <c r="AF449" s="232">
        <f t="shared" si="346"/>
        <v>0</v>
      </c>
      <c r="AG449" s="235">
        <f t="shared" si="347"/>
        <v>0</v>
      </c>
      <c r="AH449" s="269">
        <f t="shared" si="348"/>
        <v>0</v>
      </c>
      <c r="AI449" s="232">
        <f t="shared" si="349"/>
        <v>0</v>
      </c>
      <c r="AJ449" s="235">
        <f t="shared" si="350"/>
        <v>0</v>
      </c>
      <c r="AK449" s="269">
        <f t="shared" si="351"/>
        <v>0</v>
      </c>
      <c r="AL449" s="269">
        <f t="shared" si="317"/>
        <v>0</v>
      </c>
      <c r="AM449" s="281" t="e">
        <f>IF(B449&gt;=mpfo,pos*vvm*Dados!$E$122*(ntudv-SUM(U$301:$U450))-SUM($AM$13:AM448),0)</f>
        <v>#DIV/0!</v>
      </c>
      <c r="AN449" s="269" t="e">
        <f t="shared" si="352"/>
        <v>#DIV/0!</v>
      </c>
      <c r="AO449" s="232" t="e">
        <f t="shared" si="353"/>
        <v>#DIV/0!</v>
      </c>
      <c r="AP449" s="242" t="e">
        <f t="shared" si="354"/>
        <v>#DIV/0!</v>
      </c>
      <c r="AQ449" s="235" t="e">
        <f>IF(AP449+SUM($AQ$12:AQ448)&gt;=0,0,-AP449-SUM($AQ$12:AQ448))</f>
        <v>#DIV/0!</v>
      </c>
      <c r="AR449" s="235">
        <f>IF(SUM($N$13:N448)&gt;=pmo,IF(SUM(N448:$N$501)&gt;(1-pmo),B449,0),0)</f>
        <v>0</v>
      </c>
      <c r="AS449" s="235" t="e">
        <f>IF((SUM($U$13:$U448)/ntudv)&gt;=pmv,IF((SUM($U448:$U$501)/ntudv)&gt;(1-pmv),B449,0),0)</f>
        <v>#DIV/0!</v>
      </c>
      <c r="AT449" s="237" t="e">
        <f>IF(MAX(mmo,mmv)=mmo,IF(B449=AR449,(SUM(N$13:$N448)-pmo)/((1-VLOOKUP(MAX(mmo,mmv)-1,$B$13:$O$501,14))+(VLOOKUP(MAX(mmo,mmv)-1,$B$13:$O$501,14)-pmo)),N448/((1-VLOOKUP(MAX(mmo,mmv)-1,$B$13:$O$501,14)+(VLOOKUP(MAX(mmo,mmv)-1,$B$13:$O$501,14)-pmo)))),N448/(1-VLOOKUP(MAX(mmo,mmv)-2,$B$13:$O$501,14)))</f>
        <v>#DIV/0!</v>
      </c>
      <c r="AU449" s="101" t="e">
        <f t="shared" si="318"/>
        <v>#DIV/0!</v>
      </c>
      <c r="AV449" s="287" t="e">
        <f t="shared" si="319"/>
        <v>#DIV/0!</v>
      </c>
      <c r="AW449" s="235" t="e">
        <f t="shared" si="355"/>
        <v>#DIV/0!</v>
      </c>
      <c r="AX449" s="281">
        <f>IF(B449&gt;mpfo,0,IF(B449=mpfo,(vld-teo*(1+tcfo-incc)^(MAX(mmo,mmv)-mbfo))*-1,IF(SUM($N$13:N448)&gt;=pmo,IF(($V448/ntudv)&gt;=pmv,IF(B449=MAX(mmo,mmv),-teo*(1+tcfo-incc)^(B449-mbfo),0),0),0)))</f>
        <v>0</v>
      </c>
      <c r="AY449" s="292" t="e">
        <f t="shared" si="320"/>
        <v>#DIV/0!</v>
      </c>
      <c r="AZ449" s="235" t="e">
        <f t="shared" si="356"/>
        <v>#DIV/0!</v>
      </c>
      <c r="BA449" s="269" t="e">
        <f t="shared" si="357"/>
        <v>#DIV/0!</v>
      </c>
      <c r="BB449" s="292" t="e">
        <f t="shared" si="358"/>
        <v>#DIV/0!</v>
      </c>
      <c r="BC449" s="238" t="e">
        <f>IF(SUM($BC$13:BC448)&gt;0,0,IF(BB449&gt;0,B449,0))</f>
        <v>#DIV/0!</v>
      </c>
      <c r="BD449" s="292" t="e">
        <f>IF(BB449+SUM($BD$12:BD448)&gt;=0,0,-BB449-SUM($BD$12:BD448))</f>
        <v>#DIV/0!</v>
      </c>
      <c r="BE449" s="235" t="e">
        <f>BB449+SUM($BD$12:BD449)</f>
        <v>#DIV/0!</v>
      </c>
      <c r="BF449" s="292" t="e">
        <f>-MIN(BE449:$BE$501)-SUM(BF$12:$BF448)</f>
        <v>#DIV/0!</v>
      </c>
      <c r="BG449" s="235" t="e">
        <f t="shared" si="323"/>
        <v>#DIV/0!</v>
      </c>
    </row>
    <row r="450" spans="2:59">
      <c r="B450" s="246">
        <v>437</v>
      </c>
      <c r="C450" s="241">
        <f t="shared" si="322"/>
        <v>55979</v>
      </c>
      <c r="D450" s="229">
        <f t="shared" si="324"/>
        <v>4</v>
      </c>
      <c r="E450" s="230" t="str">
        <f t="shared" si="325"/>
        <v>-</v>
      </c>
      <c r="F450" s="231">
        <f t="shared" si="326"/>
        <v>0</v>
      </c>
      <c r="G450" s="231">
        <f t="shared" si="327"/>
        <v>0</v>
      </c>
      <c r="H450" s="231">
        <f t="shared" si="328"/>
        <v>0</v>
      </c>
      <c r="I450" s="268">
        <f t="shared" si="313"/>
        <v>0</v>
      </c>
      <c r="J450" s="269">
        <f t="shared" si="329"/>
        <v>0</v>
      </c>
      <c r="K450" s="269">
        <f t="shared" si="330"/>
        <v>0</v>
      </c>
      <c r="L450" s="269">
        <f t="shared" si="314"/>
        <v>0</v>
      </c>
      <c r="M450" s="269">
        <f t="shared" si="315"/>
        <v>0</v>
      </c>
      <c r="N450" s="233">
        <f>VLOOKUP(B450,Dados!$L$86:$P$90,5)</f>
        <v>0</v>
      </c>
      <c r="O450" s="270">
        <f t="shared" si="331"/>
        <v>0.99999999999999989</v>
      </c>
      <c r="P450" s="269">
        <f t="shared" si="332"/>
        <v>0</v>
      </c>
      <c r="Q450" s="269" t="e">
        <f t="shared" si="333"/>
        <v>#DIV/0!</v>
      </c>
      <c r="R450" s="269">
        <f t="shared" si="334"/>
        <v>0</v>
      </c>
      <c r="S450" s="269" t="e">
        <f t="shared" si="335"/>
        <v>#DIV/0!</v>
      </c>
      <c r="T450" s="269" t="e">
        <f t="shared" si="321"/>
        <v>#DIV/0!</v>
      </c>
      <c r="U450" s="234">
        <f t="shared" si="336"/>
        <v>0</v>
      </c>
      <c r="V450" s="232" t="e">
        <f t="shared" si="337"/>
        <v>#DIV/0!</v>
      </c>
      <c r="W450" s="269" t="e">
        <f t="shared" si="338"/>
        <v>#DIV/0!</v>
      </c>
      <c r="X450" s="235">
        <f t="shared" si="316"/>
        <v>0</v>
      </c>
      <c r="Y450" s="236">
        <f t="shared" si="339"/>
        <v>5</v>
      </c>
      <c r="Z450" s="236" t="e">
        <f t="shared" si="340"/>
        <v>#DIV/0!</v>
      </c>
      <c r="AA450" s="236">
        <f t="shared" si="341"/>
        <v>3</v>
      </c>
      <c r="AB450" s="236" t="e">
        <f t="shared" si="342"/>
        <v>#DIV/0!</v>
      </c>
      <c r="AC450" s="235">
        <f t="shared" si="343"/>
        <v>0</v>
      </c>
      <c r="AD450" s="235">
        <f t="shared" si="344"/>
        <v>0</v>
      </c>
      <c r="AE450" s="279">
        <f t="shared" si="345"/>
        <v>0</v>
      </c>
      <c r="AF450" s="232">
        <f t="shared" si="346"/>
        <v>0</v>
      </c>
      <c r="AG450" s="235">
        <f t="shared" si="347"/>
        <v>0</v>
      </c>
      <c r="AH450" s="269">
        <f t="shared" si="348"/>
        <v>0</v>
      </c>
      <c r="AI450" s="232">
        <f t="shared" si="349"/>
        <v>0</v>
      </c>
      <c r="AJ450" s="235">
        <f t="shared" si="350"/>
        <v>0</v>
      </c>
      <c r="AK450" s="269">
        <f t="shared" si="351"/>
        <v>0</v>
      </c>
      <c r="AL450" s="269">
        <f t="shared" si="317"/>
        <v>0</v>
      </c>
      <c r="AM450" s="281" t="e">
        <f>IF(B450&gt;=mpfo,pos*vvm*Dados!$E$122*(ntudv-SUM(U$301:$U451))-SUM($AM$13:AM449),0)</f>
        <v>#DIV/0!</v>
      </c>
      <c r="AN450" s="269" t="e">
        <f t="shared" si="352"/>
        <v>#DIV/0!</v>
      </c>
      <c r="AO450" s="232" t="e">
        <f t="shared" si="353"/>
        <v>#DIV/0!</v>
      </c>
      <c r="AP450" s="242" t="e">
        <f t="shared" si="354"/>
        <v>#DIV/0!</v>
      </c>
      <c r="AQ450" s="235" t="e">
        <f>IF(AP450+SUM($AQ$12:AQ449)&gt;=0,0,-AP450-SUM($AQ$12:AQ449))</f>
        <v>#DIV/0!</v>
      </c>
      <c r="AR450" s="235">
        <f>IF(SUM($N$13:N449)&gt;=pmo,IF(SUM(N449:$N$501)&gt;(1-pmo),B450,0),0)</f>
        <v>0</v>
      </c>
      <c r="AS450" s="235" t="e">
        <f>IF((SUM($U$13:$U449)/ntudv)&gt;=pmv,IF((SUM($U449:$U$501)/ntudv)&gt;(1-pmv),B450,0),0)</f>
        <v>#DIV/0!</v>
      </c>
      <c r="AT450" s="237" t="e">
        <f>IF(MAX(mmo,mmv)=mmo,IF(B450=AR450,(SUM(N$13:$N449)-pmo)/((1-VLOOKUP(MAX(mmo,mmv)-1,$B$13:$O$501,14))+(VLOOKUP(MAX(mmo,mmv)-1,$B$13:$O$501,14)-pmo)),N449/((1-VLOOKUP(MAX(mmo,mmv)-1,$B$13:$O$501,14)+(VLOOKUP(MAX(mmo,mmv)-1,$B$13:$O$501,14)-pmo)))),N449/(1-VLOOKUP(MAX(mmo,mmv)-2,$B$13:$O$501,14)))</f>
        <v>#DIV/0!</v>
      </c>
      <c r="AU450" s="101" t="e">
        <f t="shared" si="318"/>
        <v>#DIV/0!</v>
      </c>
      <c r="AV450" s="287" t="e">
        <f t="shared" si="319"/>
        <v>#DIV/0!</v>
      </c>
      <c r="AW450" s="235" t="e">
        <f t="shared" si="355"/>
        <v>#DIV/0!</v>
      </c>
      <c r="AX450" s="281">
        <f>IF(B450&gt;mpfo,0,IF(B450=mpfo,(vld-teo*(1+tcfo-incc)^(MAX(mmo,mmv)-mbfo))*-1,IF(SUM($N$13:N449)&gt;=pmo,IF(($V449/ntudv)&gt;=pmv,IF(B450=MAX(mmo,mmv),-teo*(1+tcfo-incc)^(B450-mbfo),0),0),0)))</f>
        <v>0</v>
      </c>
      <c r="AY450" s="292" t="e">
        <f t="shared" si="320"/>
        <v>#DIV/0!</v>
      </c>
      <c r="AZ450" s="235" t="e">
        <f t="shared" si="356"/>
        <v>#DIV/0!</v>
      </c>
      <c r="BA450" s="269" t="e">
        <f t="shared" si="357"/>
        <v>#DIV/0!</v>
      </c>
      <c r="BB450" s="292" t="e">
        <f t="shared" si="358"/>
        <v>#DIV/0!</v>
      </c>
      <c r="BC450" s="238" t="e">
        <f>IF(SUM($BC$13:BC449)&gt;0,0,IF(BB450&gt;0,B450,0))</f>
        <v>#DIV/0!</v>
      </c>
      <c r="BD450" s="292" t="e">
        <f>IF(BB450+SUM($BD$12:BD449)&gt;=0,0,-BB450-SUM($BD$12:BD449))</f>
        <v>#DIV/0!</v>
      </c>
      <c r="BE450" s="235" t="e">
        <f>BB450+SUM($BD$12:BD450)</f>
        <v>#DIV/0!</v>
      </c>
      <c r="BF450" s="292" t="e">
        <f>-MIN(BE450:$BE$501)-SUM(BF$12:$BF449)</f>
        <v>#DIV/0!</v>
      </c>
      <c r="BG450" s="235" t="e">
        <f t="shared" si="323"/>
        <v>#DIV/0!</v>
      </c>
    </row>
    <row r="451" spans="2:59">
      <c r="B451" s="120">
        <v>438</v>
      </c>
      <c r="C451" s="241">
        <f t="shared" si="322"/>
        <v>56009</v>
      </c>
      <c r="D451" s="229">
        <f t="shared" si="324"/>
        <v>5</v>
      </c>
      <c r="E451" s="230" t="str">
        <f t="shared" si="325"/>
        <v>-</v>
      </c>
      <c r="F451" s="231">
        <f t="shared" si="326"/>
        <v>0</v>
      </c>
      <c r="G451" s="231">
        <f t="shared" si="327"/>
        <v>0</v>
      </c>
      <c r="H451" s="231">
        <f t="shared" si="328"/>
        <v>0</v>
      </c>
      <c r="I451" s="268">
        <f t="shared" si="313"/>
        <v>0</v>
      </c>
      <c r="J451" s="269">
        <f t="shared" si="329"/>
        <v>0</v>
      </c>
      <c r="K451" s="269">
        <f t="shared" si="330"/>
        <v>0</v>
      </c>
      <c r="L451" s="269">
        <f t="shared" si="314"/>
        <v>0</v>
      </c>
      <c r="M451" s="269">
        <f t="shared" si="315"/>
        <v>0</v>
      </c>
      <c r="N451" s="233">
        <f>VLOOKUP(B451,Dados!$L$86:$P$90,5)</f>
        <v>0</v>
      </c>
      <c r="O451" s="270">
        <f t="shared" si="331"/>
        <v>0.99999999999999989</v>
      </c>
      <c r="P451" s="269">
        <f t="shared" si="332"/>
        <v>0</v>
      </c>
      <c r="Q451" s="269" t="e">
        <f t="shared" si="333"/>
        <v>#DIV/0!</v>
      </c>
      <c r="R451" s="269">
        <f t="shared" si="334"/>
        <v>0</v>
      </c>
      <c r="S451" s="269" t="e">
        <f t="shared" si="335"/>
        <v>#DIV/0!</v>
      </c>
      <c r="T451" s="269" t="e">
        <f t="shared" si="321"/>
        <v>#DIV/0!</v>
      </c>
      <c r="U451" s="234">
        <f t="shared" si="336"/>
        <v>0</v>
      </c>
      <c r="V451" s="232" t="e">
        <f t="shared" si="337"/>
        <v>#DIV/0!</v>
      </c>
      <c r="W451" s="269" t="e">
        <f t="shared" si="338"/>
        <v>#DIV/0!</v>
      </c>
      <c r="X451" s="235">
        <f t="shared" si="316"/>
        <v>0</v>
      </c>
      <c r="Y451" s="236">
        <f t="shared" si="339"/>
        <v>5</v>
      </c>
      <c r="Z451" s="236" t="e">
        <f t="shared" si="340"/>
        <v>#DIV/0!</v>
      </c>
      <c r="AA451" s="236">
        <f t="shared" si="341"/>
        <v>3</v>
      </c>
      <c r="AB451" s="236" t="e">
        <f t="shared" si="342"/>
        <v>#DIV/0!</v>
      </c>
      <c r="AC451" s="235">
        <f t="shared" si="343"/>
        <v>0</v>
      </c>
      <c r="AD451" s="235">
        <f t="shared" si="344"/>
        <v>0</v>
      </c>
      <c r="AE451" s="279">
        <f t="shared" si="345"/>
        <v>0</v>
      </c>
      <c r="AF451" s="232">
        <f t="shared" si="346"/>
        <v>0</v>
      </c>
      <c r="AG451" s="235">
        <f t="shared" si="347"/>
        <v>0</v>
      </c>
      <c r="AH451" s="269">
        <f t="shared" si="348"/>
        <v>0</v>
      </c>
      <c r="AI451" s="232">
        <f t="shared" si="349"/>
        <v>0</v>
      </c>
      <c r="AJ451" s="235">
        <f t="shared" si="350"/>
        <v>0</v>
      </c>
      <c r="AK451" s="269">
        <f t="shared" si="351"/>
        <v>0</v>
      </c>
      <c r="AL451" s="269">
        <f t="shared" si="317"/>
        <v>0</v>
      </c>
      <c r="AM451" s="281" t="e">
        <f>IF(B451&gt;=mpfo,pos*vvm*Dados!$E$122*(ntudv-SUM(U$301:$U452))-SUM($AM$13:AM450),0)</f>
        <v>#DIV/0!</v>
      </c>
      <c r="AN451" s="269" t="e">
        <f t="shared" si="352"/>
        <v>#DIV/0!</v>
      </c>
      <c r="AO451" s="232" t="e">
        <f t="shared" si="353"/>
        <v>#DIV/0!</v>
      </c>
      <c r="AP451" s="242" t="e">
        <f t="shared" si="354"/>
        <v>#DIV/0!</v>
      </c>
      <c r="AQ451" s="235" t="e">
        <f>IF(AP451+SUM($AQ$12:AQ450)&gt;=0,0,-AP451-SUM($AQ$12:AQ450))</f>
        <v>#DIV/0!</v>
      </c>
      <c r="AR451" s="235">
        <f>IF(SUM($N$13:N450)&gt;=pmo,IF(SUM(N450:$N$501)&gt;(1-pmo),B451,0),0)</f>
        <v>0</v>
      </c>
      <c r="AS451" s="235" t="e">
        <f>IF((SUM($U$13:$U450)/ntudv)&gt;=pmv,IF((SUM($U450:$U$501)/ntudv)&gt;(1-pmv),B451,0),0)</f>
        <v>#DIV/0!</v>
      </c>
      <c r="AT451" s="237" t="e">
        <f>IF(MAX(mmo,mmv)=mmo,IF(B451=AR451,(SUM(N$13:$N450)-pmo)/((1-VLOOKUP(MAX(mmo,mmv)-1,$B$13:$O$501,14))+(VLOOKUP(MAX(mmo,mmv)-1,$B$13:$O$501,14)-pmo)),N450/((1-VLOOKUP(MAX(mmo,mmv)-1,$B$13:$O$501,14)+(VLOOKUP(MAX(mmo,mmv)-1,$B$13:$O$501,14)-pmo)))),N450/(1-VLOOKUP(MAX(mmo,mmv)-2,$B$13:$O$501,14)))</f>
        <v>#DIV/0!</v>
      </c>
      <c r="AU451" s="101" t="e">
        <f t="shared" si="318"/>
        <v>#DIV/0!</v>
      </c>
      <c r="AV451" s="287" t="e">
        <f t="shared" si="319"/>
        <v>#DIV/0!</v>
      </c>
      <c r="AW451" s="235" t="e">
        <f t="shared" si="355"/>
        <v>#DIV/0!</v>
      </c>
      <c r="AX451" s="281">
        <f>IF(B451&gt;mpfo,0,IF(B451=mpfo,(vld-teo*(1+tcfo-incc)^(MAX(mmo,mmv)-mbfo))*-1,IF(SUM($N$13:N450)&gt;=pmo,IF(($V450/ntudv)&gt;=pmv,IF(B451=MAX(mmo,mmv),-teo*(1+tcfo-incc)^(B451-mbfo),0),0),0)))</f>
        <v>0</v>
      </c>
      <c r="AY451" s="292" t="e">
        <f t="shared" si="320"/>
        <v>#DIV/0!</v>
      </c>
      <c r="AZ451" s="235" t="e">
        <f t="shared" si="356"/>
        <v>#DIV/0!</v>
      </c>
      <c r="BA451" s="269" t="e">
        <f t="shared" si="357"/>
        <v>#DIV/0!</v>
      </c>
      <c r="BB451" s="292" t="e">
        <f t="shared" si="358"/>
        <v>#DIV/0!</v>
      </c>
      <c r="BC451" s="238" t="e">
        <f>IF(SUM($BC$13:BC450)&gt;0,0,IF(BB451&gt;0,B451,0))</f>
        <v>#DIV/0!</v>
      </c>
      <c r="BD451" s="292" t="e">
        <f>IF(BB451+SUM($BD$12:BD450)&gt;=0,0,-BB451-SUM($BD$12:BD450))</f>
        <v>#DIV/0!</v>
      </c>
      <c r="BE451" s="235" t="e">
        <f>BB451+SUM($BD$12:BD451)</f>
        <v>#DIV/0!</v>
      </c>
      <c r="BF451" s="292" t="e">
        <f>-MIN(BE451:$BE$501)-SUM(BF$12:$BF450)</f>
        <v>#DIV/0!</v>
      </c>
      <c r="BG451" s="235" t="e">
        <f t="shared" si="323"/>
        <v>#DIV/0!</v>
      </c>
    </row>
    <row r="452" spans="2:59">
      <c r="B452" s="246">
        <v>439</v>
      </c>
      <c r="C452" s="241">
        <f t="shared" si="322"/>
        <v>56040</v>
      </c>
      <c r="D452" s="229">
        <f t="shared" si="324"/>
        <v>6</v>
      </c>
      <c r="E452" s="230" t="str">
        <f t="shared" si="325"/>
        <v>-</v>
      </c>
      <c r="F452" s="231">
        <f t="shared" si="326"/>
        <v>0</v>
      </c>
      <c r="G452" s="231">
        <f t="shared" si="327"/>
        <v>0</v>
      </c>
      <c r="H452" s="231">
        <f t="shared" si="328"/>
        <v>0</v>
      </c>
      <c r="I452" s="268">
        <f t="shared" si="313"/>
        <v>0</v>
      </c>
      <c r="J452" s="269">
        <f t="shared" si="329"/>
        <v>0</v>
      </c>
      <c r="K452" s="269">
        <f t="shared" si="330"/>
        <v>0</v>
      </c>
      <c r="L452" s="269">
        <f t="shared" si="314"/>
        <v>0</v>
      </c>
      <c r="M452" s="269">
        <f t="shared" si="315"/>
        <v>0</v>
      </c>
      <c r="N452" s="233">
        <f>VLOOKUP(B452,Dados!$L$86:$P$90,5)</f>
        <v>0</v>
      </c>
      <c r="O452" s="270">
        <f t="shared" si="331"/>
        <v>0.99999999999999989</v>
      </c>
      <c r="P452" s="269">
        <f t="shared" si="332"/>
        <v>0</v>
      </c>
      <c r="Q452" s="269" t="e">
        <f t="shared" si="333"/>
        <v>#DIV/0!</v>
      </c>
      <c r="R452" s="269">
        <f t="shared" si="334"/>
        <v>0</v>
      </c>
      <c r="S452" s="269" t="e">
        <f t="shared" si="335"/>
        <v>#DIV/0!</v>
      </c>
      <c r="T452" s="269" t="e">
        <f t="shared" si="321"/>
        <v>#DIV/0!</v>
      </c>
      <c r="U452" s="234">
        <f t="shared" si="336"/>
        <v>0</v>
      </c>
      <c r="V452" s="232" t="e">
        <f t="shared" si="337"/>
        <v>#DIV/0!</v>
      </c>
      <c r="W452" s="269" t="e">
        <f t="shared" si="338"/>
        <v>#DIV/0!</v>
      </c>
      <c r="X452" s="235">
        <f t="shared" si="316"/>
        <v>0</v>
      </c>
      <c r="Y452" s="236">
        <f t="shared" si="339"/>
        <v>5</v>
      </c>
      <c r="Z452" s="236" t="e">
        <f t="shared" si="340"/>
        <v>#DIV/0!</v>
      </c>
      <c r="AA452" s="236">
        <f t="shared" si="341"/>
        <v>3</v>
      </c>
      <c r="AB452" s="236" t="e">
        <f t="shared" si="342"/>
        <v>#DIV/0!</v>
      </c>
      <c r="AC452" s="235">
        <f t="shared" si="343"/>
        <v>0</v>
      </c>
      <c r="AD452" s="235">
        <f t="shared" si="344"/>
        <v>0</v>
      </c>
      <c r="AE452" s="279">
        <f t="shared" si="345"/>
        <v>0</v>
      </c>
      <c r="AF452" s="232">
        <f t="shared" si="346"/>
        <v>1</v>
      </c>
      <c r="AG452" s="235">
        <f t="shared" si="347"/>
        <v>0</v>
      </c>
      <c r="AH452" s="269">
        <f t="shared" si="348"/>
        <v>0</v>
      </c>
      <c r="AI452" s="232">
        <f t="shared" si="349"/>
        <v>0</v>
      </c>
      <c r="AJ452" s="235">
        <f t="shared" si="350"/>
        <v>0</v>
      </c>
      <c r="AK452" s="269">
        <f t="shared" si="351"/>
        <v>0</v>
      </c>
      <c r="AL452" s="269">
        <f t="shared" si="317"/>
        <v>0</v>
      </c>
      <c r="AM452" s="281" t="e">
        <f>IF(B452&gt;=mpfo,pos*vvm*Dados!$E$122*(ntudv-SUM(U$301:$U453))-SUM($AM$13:AM451),0)</f>
        <v>#DIV/0!</v>
      </c>
      <c r="AN452" s="269" t="e">
        <f t="shared" si="352"/>
        <v>#DIV/0!</v>
      </c>
      <c r="AO452" s="232" t="e">
        <f t="shared" si="353"/>
        <v>#DIV/0!</v>
      </c>
      <c r="AP452" s="242" t="e">
        <f t="shared" si="354"/>
        <v>#DIV/0!</v>
      </c>
      <c r="AQ452" s="235" t="e">
        <f>IF(AP452+SUM($AQ$12:AQ451)&gt;=0,0,-AP452-SUM($AQ$12:AQ451))</f>
        <v>#DIV/0!</v>
      </c>
      <c r="AR452" s="235">
        <f>IF(SUM($N$13:N451)&gt;=pmo,IF(SUM(N451:$N$501)&gt;(1-pmo),B452,0),0)</f>
        <v>0</v>
      </c>
      <c r="AS452" s="235" t="e">
        <f>IF((SUM($U$13:$U451)/ntudv)&gt;=pmv,IF((SUM($U451:$U$501)/ntudv)&gt;(1-pmv),B452,0),0)</f>
        <v>#DIV/0!</v>
      </c>
      <c r="AT452" s="237" t="e">
        <f>IF(MAX(mmo,mmv)=mmo,IF(B452=AR452,(SUM(N$13:$N451)-pmo)/((1-VLOOKUP(MAX(mmo,mmv)-1,$B$13:$O$501,14))+(VLOOKUP(MAX(mmo,mmv)-1,$B$13:$O$501,14)-pmo)),N451/((1-VLOOKUP(MAX(mmo,mmv)-1,$B$13:$O$501,14)+(VLOOKUP(MAX(mmo,mmv)-1,$B$13:$O$501,14)-pmo)))),N451/(1-VLOOKUP(MAX(mmo,mmv)-2,$B$13:$O$501,14)))</f>
        <v>#DIV/0!</v>
      </c>
      <c r="AU452" s="101" t="e">
        <f t="shared" si="318"/>
        <v>#DIV/0!</v>
      </c>
      <c r="AV452" s="287" t="e">
        <f t="shared" si="319"/>
        <v>#DIV/0!</v>
      </c>
      <c r="AW452" s="235" t="e">
        <f t="shared" si="355"/>
        <v>#DIV/0!</v>
      </c>
      <c r="AX452" s="281">
        <f>IF(B452&gt;mpfo,0,IF(B452=mpfo,(vld-teo*(1+tcfo-incc)^(MAX(mmo,mmv)-mbfo))*-1,IF(SUM($N$13:N451)&gt;=pmo,IF(($V451/ntudv)&gt;=pmv,IF(B452=MAX(mmo,mmv),-teo*(1+tcfo-incc)^(B452-mbfo),0),0),0)))</f>
        <v>0</v>
      </c>
      <c r="AY452" s="292" t="e">
        <f t="shared" si="320"/>
        <v>#DIV/0!</v>
      </c>
      <c r="AZ452" s="235" t="e">
        <f t="shared" si="356"/>
        <v>#DIV/0!</v>
      </c>
      <c r="BA452" s="269" t="e">
        <f t="shared" si="357"/>
        <v>#DIV/0!</v>
      </c>
      <c r="BB452" s="292" t="e">
        <f t="shared" si="358"/>
        <v>#DIV/0!</v>
      </c>
      <c r="BC452" s="238" t="e">
        <f>IF(SUM($BC$13:BC451)&gt;0,0,IF(BB452&gt;0,B452,0))</f>
        <v>#DIV/0!</v>
      </c>
      <c r="BD452" s="292" t="e">
        <f>IF(BB452+SUM($BD$12:BD451)&gt;=0,0,-BB452-SUM($BD$12:BD451))</f>
        <v>#DIV/0!</v>
      </c>
      <c r="BE452" s="235" t="e">
        <f>BB452+SUM($BD$12:BD452)</f>
        <v>#DIV/0!</v>
      </c>
      <c r="BF452" s="292" t="e">
        <f>-MIN(BE452:$BE$501)-SUM(BF$12:$BF451)</f>
        <v>#DIV/0!</v>
      </c>
      <c r="BG452" s="235" t="e">
        <f t="shared" si="323"/>
        <v>#DIV/0!</v>
      </c>
    </row>
    <row r="453" spans="2:59">
      <c r="B453" s="120">
        <v>440</v>
      </c>
      <c r="C453" s="241">
        <f t="shared" si="322"/>
        <v>56070</v>
      </c>
      <c r="D453" s="229">
        <f t="shared" si="324"/>
        <v>7</v>
      </c>
      <c r="E453" s="230" t="str">
        <f t="shared" si="325"/>
        <v>-</v>
      </c>
      <c r="F453" s="231">
        <f t="shared" si="326"/>
        <v>0</v>
      </c>
      <c r="G453" s="231">
        <f t="shared" si="327"/>
        <v>0</v>
      </c>
      <c r="H453" s="231">
        <f t="shared" si="328"/>
        <v>0</v>
      </c>
      <c r="I453" s="268">
        <f t="shared" si="313"/>
        <v>0</v>
      </c>
      <c r="J453" s="269">
        <f t="shared" si="329"/>
        <v>0</v>
      </c>
      <c r="K453" s="269">
        <f t="shared" si="330"/>
        <v>0</v>
      </c>
      <c r="L453" s="269">
        <f t="shared" si="314"/>
        <v>0</v>
      </c>
      <c r="M453" s="269">
        <f t="shared" si="315"/>
        <v>0</v>
      </c>
      <c r="N453" s="233">
        <f>VLOOKUP(B453,Dados!$L$86:$P$90,5)</f>
        <v>0</v>
      </c>
      <c r="O453" s="270">
        <f t="shared" si="331"/>
        <v>0.99999999999999989</v>
      </c>
      <c r="P453" s="269">
        <f t="shared" si="332"/>
        <v>0</v>
      </c>
      <c r="Q453" s="269" t="e">
        <f t="shared" si="333"/>
        <v>#DIV/0!</v>
      </c>
      <c r="R453" s="269">
        <f t="shared" si="334"/>
        <v>0</v>
      </c>
      <c r="S453" s="269" t="e">
        <f t="shared" si="335"/>
        <v>#DIV/0!</v>
      </c>
      <c r="T453" s="269" t="e">
        <f t="shared" si="321"/>
        <v>#DIV/0!</v>
      </c>
      <c r="U453" s="234">
        <f t="shared" si="336"/>
        <v>0</v>
      </c>
      <c r="V453" s="232" t="e">
        <f t="shared" si="337"/>
        <v>#DIV/0!</v>
      </c>
      <c r="W453" s="269" t="e">
        <f t="shared" si="338"/>
        <v>#DIV/0!</v>
      </c>
      <c r="X453" s="235">
        <f t="shared" si="316"/>
        <v>0</v>
      </c>
      <c r="Y453" s="236">
        <f t="shared" si="339"/>
        <v>5</v>
      </c>
      <c r="Z453" s="236" t="e">
        <f t="shared" si="340"/>
        <v>#DIV/0!</v>
      </c>
      <c r="AA453" s="236">
        <f t="shared" si="341"/>
        <v>3</v>
      </c>
      <c r="AB453" s="236" t="e">
        <f t="shared" si="342"/>
        <v>#DIV/0!</v>
      </c>
      <c r="AC453" s="235">
        <f t="shared" si="343"/>
        <v>0</v>
      </c>
      <c r="AD453" s="235">
        <f t="shared" si="344"/>
        <v>0</v>
      </c>
      <c r="AE453" s="279">
        <f t="shared" si="345"/>
        <v>0</v>
      </c>
      <c r="AF453" s="232">
        <f t="shared" si="346"/>
        <v>0</v>
      </c>
      <c r="AG453" s="235">
        <f t="shared" si="347"/>
        <v>0</v>
      </c>
      <c r="AH453" s="269">
        <f t="shared" si="348"/>
        <v>0</v>
      </c>
      <c r="AI453" s="232">
        <f t="shared" si="349"/>
        <v>0</v>
      </c>
      <c r="AJ453" s="235">
        <f t="shared" si="350"/>
        <v>0</v>
      </c>
      <c r="AK453" s="269">
        <f t="shared" si="351"/>
        <v>0</v>
      </c>
      <c r="AL453" s="269">
        <f t="shared" si="317"/>
        <v>0</v>
      </c>
      <c r="AM453" s="281" t="e">
        <f>IF(B453&gt;=mpfo,pos*vvm*Dados!$E$122*(ntudv-SUM(U$301:$U454))-SUM($AM$13:AM452),0)</f>
        <v>#DIV/0!</v>
      </c>
      <c r="AN453" s="269" t="e">
        <f t="shared" si="352"/>
        <v>#DIV/0!</v>
      </c>
      <c r="AO453" s="232" t="e">
        <f t="shared" si="353"/>
        <v>#DIV/0!</v>
      </c>
      <c r="AP453" s="242" t="e">
        <f t="shared" si="354"/>
        <v>#DIV/0!</v>
      </c>
      <c r="AQ453" s="235" t="e">
        <f>IF(AP453+SUM($AQ$12:AQ452)&gt;=0,0,-AP453-SUM($AQ$12:AQ452))</f>
        <v>#DIV/0!</v>
      </c>
      <c r="AR453" s="235">
        <f>IF(SUM($N$13:N452)&gt;=pmo,IF(SUM(N452:$N$501)&gt;(1-pmo),B453,0),0)</f>
        <v>0</v>
      </c>
      <c r="AS453" s="235" t="e">
        <f>IF((SUM($U$13:$U452)/ntudv)&gt;=pmv,IF((SUM($U452:$U$501)/ntudv)&gt;(1-pmv),B453,0),0)</f>
        <v>#DIV/0!</v>
      </c>
      <c r="AT453" s="237" t="e">
        <f>IF(MAX(mmo,mmv)=mmo,IF(B453=AR453,(SUM(N$13:$N452)-pmo)/((1-VLOOKUP(MAX(mmo,mmv)-1,$B$13:$O$501,14))+(VLOOKUP(MAX(mmo,mmv)-1,$B$13:$O$501,14)-pmo)),N452/((1-VLOOKUP(MAX(mmo,mmv)-1,$B$13:$O$501,14)+(VLOOKUP(MAX(mmo,mmv)-1,$B$13:$O$501,14)-pmo)))),N452/(1-VLOOKUP(MAX(mmo,mmv)-2,$B$13:$O$501,14)))</f>
        <v>#DIV/0!</v>
      </c>
      <c r="AU453" s="101" t="e">
        <f t="shared" si="318"/>
        <v>#DIV/0!</v>
      </c>
      <c r="AV453" s="287" t="e">
        <f t="shared" si="319"/>
        <v>#DIV/0!</v>
      </c>
      <c r="AW453" s="235" t="e">
        <f t="shared" si="355"/>
        <v>#DIV/0!</v>
      </c>
      <c r="AX453" s="281">
        <f>IF(B453&gt;mpfo,0,IF(B453=mpfo,(vld-teo*(1+tcfo-incc)^(MAX(mmo,mmv)-mbfo))*-1,IF(SUM($N$13:N452)&gt;=pmo,IF(($V452/ntudv)&gt;=pmv,IF(B453=MAX(mmo,mmv),-teo*(1+tcfo-incc)^(B453-mbfo),0),0),0)))</f>
        <v>0</v>
      </c>
      <c r="AY453" s="292" t="e">
        <f t="shared" si="320"/>
        <v>#DIV/0!</v>
      </c>
      <c r="AZ453" s="235" t="e">
        <f t="shared" si="356"/>
        <v>#DIV/0!</v>
      </c>
      <c r="BA453" s="269" t="e">
        <f t="shared" si="357"/>
        <v>#DIV/0!</v>
      </c>
      <c r="BB453" s="292" t="e">
        <f t="shared" si="358"/>
        <v>#DIV/0!</v>
      </c>
      <c r="BC453" s="238" t="e">
        <f>IF(SUM($BC$13:BC452)&gt;0,0,IF(BB453&gt;0,B453,0))</f>
        <v>#DIV/0!</v>
      </c>
      <c r="BD453" s="292" t="e">
        <f>IF(BB453+SUM($BD$12:BD452)&gt;=0,0,-BB453-SUM($BD$12:BD452))</f>
        <v>#DIV/0!</v>
      </c>
      <c r="BE453" s="235" t="e">
        <f>BB453+SUM($BD$12:BD453)</f>
        <v>#DIV/0!</v>
      </c>
      <c r="BF453" s="292" t="e">
        <f>-MIN(BE453:$BE$501)-SUM(BF$12:$BF452)</f>
        <v>#DIV/0!</v>
      </c>
      <c r="BG453" s="235" t="e">
        <f t="shared" si="323"/>
        <v>#DIV/0!</v>
      </c>
    </row>
    <row r="454" spans="2:59">
      <c r="B454" s="246">
        <v>441</v>
      </c>
      <c r="C454" s="241">
        <f t="shared" si="322"/>
        <v>56101</v>
      </c>
      <c r="D454" s="229">
        <f t="shared" si="324"/>
        <v>8</v>
      </c>
      <c r="E454" s="230" t="str">
        <f t="shared" si="325"/>
        <v>-</v>
      </c>
      <c r="F454" s="231">
        <f t="shared" si="326"/>
        <v>0</v>
      </c>
      <c r="G454" s="231">
        <f t="shared" si="327"/>
        <v>0</v>
      </c>
      <c r="H454" s="231">
        <f t="shared" si="328"/>
        <v>0</v>
      </c>
      <c r="I454" s="268">
        <f t="shared" si="313"/>
        <v>0</v>
      </c>
      <c r="J454" s="269">
        <f t="shared" si="329"/>
        <v>0</v>
      </c>
      <c r="K454" s="269">
        <f t="shared" si="330"/>
        <v>0</v>
      </c>
      <c r="L454" s="269">
        <f t="shared" si="314"/>
        <v>0</v>
      </c>
      <c r="M454" s="269">
        <f t="shared" si="315"/>
        <v>0</v>
      </c>
      <c r="N454" s="233">
        <f>VLOOKUP(B454,Dados!$L$86:$P$90,5)</f>
        <v>0</v>
      </c>
      <c r="O454" s="270">
        <f t="shared" si="331"/>
        <v>0.99999999999999989</v>
      </c>
      <c r="P454" s="269">
        <f t="shared" si="332"/>
        <v>0</v>
      </c>
      <c r="Q454" s="269" t="e">
        <f t="shared" si="333"/>
        <v>#DIV/0!</v>
      </c>
      <c r="R454" s="269">
        <f t="shared" si="334"/>
        <v>0</v>
      </c>
      <c r="S454" s="269" t="e">
        <f t="shared" si="335"/>
        <v>#DIV/0!</v>
      </c>
      <c r="T454" s="269" t="e">
        <f t="shared" si="321"/>
        <v>#DIV/0!</v>
      </c>
      <c r="U454" s="234">
        <f t="shared" si="336"/>
        <v>0</v>
      </c>
      <c r="V454" s="232" t="e">
        <f t="shared" si="337"/>
        <v>#DIV/0!</v>
      </c>
      <c r="W454" s="269" t="e">
        <f t="shared" si="338"/>
        <v>#DIV/0!</v>
      </c>
      <c r="X454" s="235">
        <f t="shared" si="316"/>
        <v>0</v>
      </c>
      <c r="Y454" s="236">
        <f t="shared" si="339"/>
        <v>5</v>
      </c>
      <c r="Z454" s="236" t="e">
        <f t="shared" si="340"/>
        <v>#DIV/0!</v>
      </c>
      <c r="AA454" s="236">
        <f t="shared" si="341"/>
        <v>3</v>
      </c>
      <c r="AB454" s="236" t="e">
        <f t="shared" si="342"/>
        <v>#DIV/0!</v>
      </c>
      <c r="AC454" s="235">
        <f t="shared" si="343"/>
        <v>0</v>
      </c>
      <c r="AD454" s="235">
        <f t="shared" si="344"/>
        <v>0</v>
      </c>
      <c r="AE454" s="279">
        <f t="shared" si="345"/>
        <v>0</v>
      </c>
      <c r="AF454" s="232">
        <f t="shared" si="346"/>
        <v>0</v>
      </c>
      <c r="AG454" s="235">
        <f t="shared" si="347"/>
        <v>0</v>
      </c>
      <c r="AH454" s="269">
        <f t="shared" si="348"/>
        <v>0</v>
      </c>
      <c r="AI454" s="232">
        <f t="shared" si="349"/>
        <v>0</v>
      </c>
      <c r="AJ454" s="235">
        <f t="shared" si="350"/>
        <v>0</v>
      </c>
      <c r="AK454" s="269">
        <f t="shared" si="351"/>
        <v>0</v>
      </c>
      <c r="AL454" s="269">
        <f t="shared" si="317"/>
        <v>0</v>
      </c>
      <c r="AM454" s="281" t="e">
        <f>IF(B454&gt;=mpfo,pos*vvm*Dados!$E$122*(ntudv-SUM(U$301:$U455))-SUM($AM$13:AM453),0)</f>
        <v>#DIV/0!</v>
      </c>
      <c r="AN454" s="269" t="e">
        <f t="shared" si="352"/>
        <v>#DIV/0!</v>
      </c>
      <c r="AO454" s="232" t="e">
        <f t="shared" si="353"/>
        <v>#DIV/0!</v>
      </c>
      <c r="AP454" s="242" t="e">
        <f t="shared" si="354"/>
        <v>#DIV/0!</v>
      </c>
      <c r="AQ454" s="235" t="e">
        <f>IF(AP454+SUM($AQ$12:AQ453)&gt;=0,0,-AP454-SUM($AQ$12:AQ453))</f>
        <v>#DIV/0!</v>
      </c>
      <c r="AR454" s="235">
        <f>IF(SUM($N$13:N453)&gt;=pmo,IF(SUM(N453:$N$501)&gt;(1-pmo),B454,0),0)</f>
        <v>0</v>
      </c>
      <c r="AS454" s="235" t="e">
        <f>IF((SUM($U$13:$U453)/ntudv)&gt;=pmv,IF((SUM($U453:$U$501)/ntudv)&gt;(1-pmv),B454,0),0)</f>
        <v>#DIV/0!</v>
      </c>
      <c r="AT454" s="237" t="e">
        <f>IF(MAX(mmo,mmv)=mmo,IF(B454=AR454,(SUM(N$13:$N453)-pmo)/((1-VLOOKUP(MAX(mmo,mmv)-1,$B$13:$O$501,14))+(VLOOKUP(MAX(mmo,mmv)-1,$B$13:$O$501,14)-pmo)),N453/((1-VLOOKUP(MAX(mmo,mmv)-1,$B$13:$O$501,14)+(VLOOKUP(MAX(mmo,mmv)-1,$B$13:$O$501,14)-pmo)))),N453/(1-VLOOKUP(MAX(mmo,mmv)-2,$B$13:$O$501,14)))</f>
        <v>#DIV/0!</v>
      </c>
      <c r="AU454" s="101" t="e">
        <f t="shared" si="318"/>
        <v>#DIV/0!</v>
      </c>
      <c r="AV454" s="287" t="e">
        <f t="shared" si="319"/>
        <v>#DIV/0!</v>
      </c>
      <c r="AW454" s="235" t="e">
        <f t="shared" si="355"/>
        <v>#DIV/0!</v>
      </c>
      <c r="AX454" s="281">
        <f>IF(B454&gt;mpfo,0,IF(B454=mpfo,(vld-teo*(1+tcfo-incc)^(MAX(mmo,mmv)-mbfo))*-1,IF(SUM($N$13:N453)&gt;=pmo,IF(($V453/ntudv)&gt;=pmv,IF(B454=MAX(mmo,mmv),-teo*(1+tcfo-incc)^(B454-mbfo),0),0),0)))</f>
        <v>0</v>
      </c>
      <c r="AY454" s="292" t="e">
        <f t="shared" si="320"/>
        <v>#DIV/0!</v>
      </c>
      <c r="AZ454" s="235" t="e">
        <f t="shared" si="356"/>
        <v>#DIV/0!</v>
      </c>
      <c r="BA454" s="269" t="e">
        <f t="shared" si="357"/>
        <v>#DIV/0!</v>
      </c>
      <c r="BB454" s="292" t="e">
        <f t="shared" si="358"/>
        <v>#DIV/0!</v>
      </c>
      <c r="BC454" s="238" t="e">
        <f>IF(SUM($BC$13:BC453)&gt;0,0,IF(BB454&gt;0,B454,0))</f>
        <v>#DIV/0!</v>
      </c>
      <c r="BD454" s="292" t="e">
        <f>IF(BB454+SUM($BD$12:BD453)&gt;=0,0,-BB454-SUM($BD$12:BD453))</f>
        <v>#DIV/0!</v>
      </c>
      <c r="BE454" s="235" t="e">
        <f>BB454+SUM($BD$12:BD454)</f>
        <v>#DIV/0!</v>
      </c>
      <c r="BF454" s="292" t="e">
        <f>-MIN(BE454:$BE$501)-SUM(BF$12:$BF453)</f>
        <v>#DIV/0!</v>
      </c>
      <c r="BG454" s="235" t="e">
        <f t="shared" si="323"/>
        <v>#DIV/0!</v>
      </c>
    </row>
    <row r="455" spans="2:59">
      <c r="B455" s="120">
        <v>442</v>
      </c>
      <c r="C455" s="241">
        <f t="shared" si="322"/>
        <v>56132</v>
      </c>
      <c r="D455" s="229">
        <f t="shared" si="324"/>
        <v>9</v>
      </c>
      <c r="E455" s="230" t="str">
        <f t="shared" si="325"/>
        <v>-</v>
      </c>
      <c r="F455" s="231">
        <f t="shared" si="326"/>
        <v>0</v>
      </c>
      <c r="G455" s="231">
        <f t="shared" si="327"/>
        <v>0</v>
      </c>
      <c r="H455" s="231">
        <f t="shared" si="328"/>
        <v>0</v>
      </c>
      <c r="I455" s="268">
        <f t="shared" si="313"/>
        <v>0</v>
      </c>
      <c r="J455" s="269">
        <f t="shared" si="329"/>
        <v>0</v>
      </c>
      <c r="K455" s="269">
        <f t="shared" si="330"/>
        <v>0</v>
      </c>
      <c r="L455" s="269">
        <f t="shared" si="314"/>
        <v>0</v>
      </c>
      <c r="M455" s="269">
        <f t="shared" si="315"/>
        <v>0</v>
      </c>
      <c r="N455" s="233">
        <f>VLOOKUP(B455,Dados!$L$86:$P$90,5)</f>
        <v>0</v>
      </c>
      <c r="O455" s="270">
        <f t="shared" si="331"/>
        <v>0.99999999999999989</v>
      </c>
      <c r="P455" s="269">
        <f t="shared" si="332"/>
        <v>0</v>
      </c>
      <c r="Q455" s="269" t="e">
        <f t="shared" si="333"/>
        <v>#DIV/0!</v>
      </c>
      <c r="R455" s="269">
        <f t="shared" si="334"/>
        <v>0</v>
      </c>
      <c r="S455" s="269" t="e">
        <f t="shared" si="335"/>
        <v>#DIV/0!</v>
      </c>
      <c r="T455" s="269" t="e">
        <f t="shared" si="321"/>
        <v>#DIV/0!</v>
      </c>
      <c r="U455" s="234">
        <f t="shared" si="336"/>
        <v>0</v>
      </c>
      <c r="V455" s="232" t="e">
        <f t="shared" si="337"/>
        <v>#DIV/0!</v>
      </c>
      <c r="W455" s="269" t="e">
        <f t="shared" si="338"/>
        <v>#DIV/0!</v>
      </c>
      <c r="X455" s="235">
        <f t="shared" si="316"/>
        <v>0</v>
      </c>
      <c r="Y455" s="236">
        <f t="shared" si="339"/>
        <v>5</v>
      </c>
      <c r="Z455" s="236" t="e">
        <f t="shared" si="340"/>
        <v>#DIV/0!</v>
      </c>
      <c r="AA455" s="236">
        <f t="shared" si="341"/>
        <v>3</v>
      </c>
      <c r="AB455" s="236" t="e">
        <f t="shared" si="342"/>
        <v>#DIV/0!</v>
      </c>
      <c r="AC455" s="235">
        <f t="shared" si="343"/>
        <v>0</v>
      </c>
      <c r="AD455" s="235">
        <f t="shared" si="344"/>
        <v>0</v>
      </c>
      <c r="AE455" s="279">
        <f t="shared" si="345"/>
        <v>0</v>
      </c>
      <c r="AF455" s="232">
        <f t="shared" si="346"/>
        <v>0</v>
      </c>
      <c r="AG455" s="235">
        <f t="shared" si="347"/>
        <v>0</v>
      </c>
      <c r="AH455" s="269">
        <f t="shared" si="348"/>
        <v>0</v>
      </c>
      <c r="AI455" s="232">
        <f t="shared" si="349"/>
        <v>0</v>
      </c>
      <c r="AJ455" s="235">
        <f t="shared" si="350"/>
        <v>0</v>
      </c>
      <c r="AK455" s="269">
        <f t="shared" si="351"/>
        <v>0</v>
      </c>
      <c r="AL455" s="269">
        <f t="shared" si="317"/>
        <v>0</v>
      </c>
      <c r="AM455" s="281" t="e">
        <f>IF(B455&gt;=mpfo,pos*vvm*Dados!$E$122*(ntudv-SUM(U$301:$U456))-SUM($AM$13:AM454),0)</f>
        <v>#DIV/0!</v>
      </c>
      <c r="AN455" s="269" t="e">
        <f t="shared" si="352"/>
        <v>#DIV/0!</v>
      </c>
      <c r="AO455" s="232" t="e">
        <f t="shared" si="353"/>
        <v>#DIV/0!</v>
      </c>
      <c r="AP455" s="242" t="e">
        <f t="shared" si="354"/>
        <v>#DIV/0!</v>
      </c>
      <c r="AQ455" s="235" t="e">
        <f>IF(AP455+SUM($AQ$12:AQ454)&gt;=0,0,-AP455-SUM($AQ$12:AQ454))</f>
        <v>#DIV/0!</v>
      </c>
      <c r="AR455" s="235">
        <f>IF(SUM($N$13:N454)&gt;=pmo,IF(SUM(N454:$N$501)&gt;(1-pmo),B455,0),0)</f>
        <v>0</v>
      </c>
      <c r="AS455" s="235" t="e">
        <f>IF((SUM($U$13:$U454)/ntudv)&gt;=pmv,IF((SUM($U454:$U$501)/ntudv)&gt;(1-pmv),B455,0),0)</f>
        <v>#DIV/0!</v>
      </c>
      <c r="AT455" s="237" t="e">
        <f>IF(MAX(mmo,mmv)=mmo,IF(B455=AR455,(SUM(N$13:$N454)-pmo)/((1-VLOOKUP(MAX(mmo,mmv)-1,$B$13:$O$501,14))+(VLOOKUP(MAX(mmo,mmv)-1,$B$13:$O$501,14)-pmo)),N454/((1-VLOOKUP(MAX(mmo,mmv)-1,$B$13:$O$501,14)+(VLOOKUP(MAX(mmo,mmv)-1,$B$13:$O$501,14)-pmo)))),N454/(1-VLOOKUP(MAX(mmo,mmv)-2,$B$13:$O$501,14)))</f>
        <v>#DIV/0!</v>
      </c>
      <c r="AU455" s="101" t="e">
        <f t="shared" si="318"/>
        <v>#DIV/0!</v>
      </c>
      <c r="AV455" s="287" t="e">
        <f t="shared" si="319"/>
        <v>#DIV/0!</v>
      </c>
      <c r="AW455" s="235" t="e">
        <f t="shared" si="355"/>
        <v>#DIV/0!</v>
      </c>
      <c r="AX455" s="281">
        <f>IF(B455&gt;mpfo,0,IF(B455=mpfo,(vld-teo*(1+tcfo-incc)^(MAX(mmo,mmv)-mbfo))*-1,IF(SUM($N$13:N454)&gt;=pmo,IF(($V454/ntudv)&gt;=pmv,IF(B455=MAX(mmo,mmv),-teo*(1+tcfo-incc)^(B455-mbfo),0),0),0)))</f>
        <v>0</v>
      </c>
      <c r="AY455" s="292" t="e">
        <f t="shared" si="320"/>
        <v>#DIV/0!</v>
      </c>
      <c r="AZ455" s="235" t="e">
        <f t="shared" si="356"/>
        <v>#DIV/0!</v>
      </c>
      <c r="BA455" s="269" t="e">
        <f t="shared" si="357"/>
        <v>#DIV/0!</v>
      </c>
      <c r="BB455" s="292" t="e">
        <f t="shared" si="358"/>
        <v>#DIV/0!</v>
      </c>
      <c r="BC455" s="238" t="e">
        <f>IF(SUM($BC$13:BC454)&gt;0,0,IF(BB455&gt;0,B455,0))</f>
        <v>#DIV/0!</v>
      </c>
      <c r="BD455" s="292" t="e">
        <f>IF(BB455+SUM($BD$12:BD454)&gt;=0,0,-BB455-SUM($BD$12:BD454))</f>
        <v>#DIV/0!</v>
      </c>
      <c r="BE455" s="235" t="e">
        <f>BB455+SUM($BD$12:BD455)</f>
        <v>#DIV/0!</v>
      </c>
      <c r="BF455" s="292" t="e">
        <f>-MIN(BE455:$BE$501)-SUM(BF$12:$BF454)</f>
        <v>#DIV/0!</v>
      </c>
      <c r="BG455" s="235" t="e">
        <f t="shared" si="323"/>
        <v>#DIV/0!</v>
      </c>
    </row>
    <row r="456" spans="2:59">
      <c r="B456" s="246">
        <v>443</v>
      </c>
      <c r="C456" s="241">
        <f t="shared" si="322"/>
        <v>56162</v>
      </c>
      <c r="D456" s="229">
        <f t="shared" si="324"/>
        <v>10</v>
      </c>
      <c r="E456" s="230" t="str">
        <f t="shared" si="325"/>
        <v>-</v>
      </c>
      <c r="F456" s="231">
        <f t="shared" si="326"/>
        <v>0</v>
      </c>
      <c r="G456" s="231">
        <f t="shared" si="327"/>
        <v>0</v>
      </c>
      <c r="H456" s="231">
        <f t="shared" si="328"/>
        <v>0</v>
      </c>
      <c r="I456" s="268">
        <f t="shared" si="313"/>
        <v>0</v>
      </c>
      <c r="J456" s="269">
        <f t="shared" si="329"/>
        <v>0</v>
      </c>
      <c r="K456" s="269">
        <f t="shared" si="330"/>
        <v>0</v>
      </c>
      <c r="L456" s="269">
        <f t="shared" si="314"/>
        <v>0</v>
      </c>
      <c r="M456" s="269">
        <f t="shared" si="315"/>
        <v>0</v>
      </c>
      <c r="N456" s="233">
        <f>VLOOKUP(B456,Dados!$L$86:$P$90,5)</f>
        <v>0</v>
      </c>
      <c r="O456" s="270">
        <f t="shared" si="331"/>
        <v>0.99999999999999989</v>
      </c>
      <c r="P456" s="269">
        <f t="shared" si="332"/>
        <v>0</v>
      </c>
      <c r="Q456" s="269" t="e">
        <f t="shared" si="333"/>
        <v>#DIV/0!</v>
      </c>
      <c r="R456" s="269">
        <f t="shared" si="334"/>
        <v>0</v>
      </c>
      <c r="S456" s="269" t="e">
        <f t="shared" si="335"/>
        <v>#DIV/0!</v>
      </c>
      <c r="T456" s="269" t="e">
        <f t="shared" si="321"/>
        <v>#DIV/0!</v>
      </c>
      <c r="U456" s="234">
        <f t="shared" si="336"/>
        <v>0</v>
      </c>
      <c r="V456" s="232" t="e">
        <f t="shared" si="337"/>
        <v>#DIV/0!</v>
      </c>
      <c r="W456" s="269" t="e">
        <f t="shared" si="338"/>
        <v>#DIV/0!</v>
      </c>
      <c r="X456" s="235">
        <f t="shared" si="316"/>
        <v>0</v>
      </c>
      <c r="Y456" s="236">
        <f t="shared" si="339"/>
        <v>5</v>
      </c>
      <c r="Z456" s="236" t="e">
        <f t="shared" si="340"/>
        <v>#DIV/0!</v>
      </c>
      <c r="AA456" s="236">
        <f t="shared" si="341"/>
        <v>3</v>
      </c>
      <c r="AB456" s="236" t="e">
        <f t="shared" si="342"/>
        <v>#DIV/0!</v>
      </c>
      <c r="AC456" s="235">
        <f t="shared" si="343"/>
        <v>0</v>
      </c>
      <c r="AD456" s="235">
        <f t="shared" si="344"/>
        <v>0</v>
      </c>
      <c r="AE456" s="279">
        <f t="shared" si="345"/>
        <v>0</v>
      </c>
      <c r="AF456" s="232">
        <f t="shared" si="346"/>
        <v>0</v>
      </c>
      <c r="AG456" s="235">
        <f t="shared" si="347"/>
        <v>0</v>
      </c>
      <c r="AH456" s="269">
        <f t="shared" si="348"/>
        <v>0</v>
      </c>
      <c r="AI456" s="232">
        <f t="shared" si="349"/>
        <v>0</v>
      </c>
      <c r="AJ456" s="235">
        <f t="shared" si="350"/>
        <v>0</v>
      </c>
      <c r="AK456" s="269">
        <f t="shared" si="351"/>
        <v>0</v>
      </c>
      <c r="AL456" s="269">
        <f t="shared" si="317"/>
        <v>0</v>
      </c>
      <c r="AM456" s="281" t="e">
        <f>IF(B456&gt;=mpfo,pos*vvm*Dados!$E$122*(ntudv-SUM(U$301:$U457))-SUM($AM$13:AM455),0)</f>
        <v>#DIV/0!</v>
      </c>
      <c r="AN456" s="269" t="e">
        <f t="shared" si="352"/>
        <v>#DIV/0!</v>
      </c>
      <c r="AO456" s="232" t="e">
        <f t="shared" si="353"/>
        <v>#DIV/0!</v>
      </c>
      <c r="AP456" s="242" t="e">
        <f t="shared" si="354"/>
        <v>#DIV/0!</v>
      </c>
      <c r="AQ456" s="235" t="e">
        <f>IF(AP456+SUM($AQ$12:AQ455)&gt;=0,0,-AP456-SUM($AQ$12:AQ455))</f>
        <v>#DIV/0!</v>
      </c>
      <c r="AR456" s="235">
        <f>IF(SUM($N$13:N455)&gt;=pmo,IF(SUM(N455:$N$501)&gt;(1-pmo),B456,0),0)</f>
        <v>0</v>
      </c>
      <c r="AS456" s="235" t="e">
        <f>IF((SUM($U$13:$U455)/ntudv)&gt;=pmv,IF((SUM($U455:$U$501)/ntudv)&gt;(1-pmv),B456,0),0)</f>
        <v>#DIV/0!</v>
      </c>
      <c r="AT456" s="237" t="e">
        <f>IF(MAX(mmo,mmv)=mmo,IF(B456=AR456,(SUM(N$13:$N455)-pmo)/((1-VLOOKUP(MAX(mmo,mmv)-1,$B$13:$O$501,14))+(VLOOKUP(MAX(mmo,mmv)-1,$B$13:$O$501,14)-pmo)),N455/((1-VLOOKUP(MAX(mmo,mmv)-1,$B$13:$O$501,14)+(VLOOKUP(MAX(mmo,mmv)-1,$B$13:$O$501,14)-pmo)))),N455/(1-VLOOKUP(MAX(mmo,mmv)-2,$B$13:$O$501,14)))</f>
        <v>#DIV/0!</v>
      </c>
      <c r="AU456" s="101" t="e">
        <f t="shared" si="318"/>
        <v>#DIV/0!</v>
      </c>
      <c r="AV456" s="287" t="e">
        <f t="shared" si="319"/>
        <v>#DIV/0!</v>
      </c>
      <c r="AW456" s="235" t="e">
        <f t="shared" si="355"/>
        <v>#DIV/0!</v>
      </c>
      <c r="AX456" s="281">
        <f>IF(B456&gt;mpfo,0,IF(B456=mpfo,(vld-teo*(1+tcfo-incc)^(MAX(mmo,mmv)-mbfo))*-1,IF(SUM($N$13:N455)&gt;=pmo,IF(($V455/ntudv)&gt;=pmv,IF(B456=MAX(mmo,mmv),-teo*(1+tcfo-incc)^(B456-mbfo),0),0),0)))</f>
        <v>0</v>
      </c>
      <c r="AY456" s="292" t="e">
        <f t="shared" si="320"/>
        <v>#DIV/0!</v>
      </c>
      <c r="AZ456" s="235" t="e">
        <f t="shared" si="356"/>
        <v>#DIV/0!</v>
      </c>
      <c r="BA456" s="269" t="e">
        <f t="shared" si="357"/>
        <v>#DIV/0!</v>
      </c>
      <c r="BB456" s="292" t="e">
        <f t="shared" si="358"/>
        <v>#DIV/0!</v>
      </c>
      <c r="BC456" s="238" t="e">
        <f>IF(SUM($BC$13:BC455)&gt;0,0,IF(BB456&gt;0,B456,0))</f>
        <v>#DIV/0!</v>
      </c>
      <c r="BD456" s="292" t="e">
        <f>IF(BB456+SUM($BD$12:BD455)&gt;=0,0,-BB456-SUM($BD$12:BD455))</f>
        <v>#DIV/0!</v>
      </c>
      <c r="BE456" s="235" t="e">
        <f>BB456+SUM($BD$12:BD456)</f>
        <v>#DIV/0!</v>
      </c>
      <c r="BF456" s="292" t="e">
        <f>-MIN(BE456:$BE$501)-SUM(BF$12:$BF455)</f>
        <v>#DIV/0!</v>
      </c>
      <c r="BG456" s="235" t="e">
        <f t="shared" si="323"/>
        <v>#DIV/0!</v>
      </c>
    </row>
    <row r="457" spans="2:59">
      <c r="B457" s="120">
        <v>444</v>
      </c>
      <c r="C457" s="241">
        <f t="shared" si="322"/>
        <v>56193</v>
      </c>
      <c r="D457" s="229">
        <f t="shared" si="324"/>
        <v>11</v>
      </c>
      <c r="E457" s="230" t="str">
        <f t="shared" si="325"/>
        <v>-</v>
      </c>
      <c r="F457" s="231">
        <f t="shared" si="326"/>
        <v>0</v>
      </c>
      <c r="G457" s="231">
        <f t="shared" si="327"/>
        <v>0</v>
      </c>
      <c r="H457" s="231">
        <f t="shared" si="328"/>
        <v>0</v>
      </c>
      <c r="I457" s="268">
        <f t="shared" si="313"/>
        <v>0</v>
      </c>
      <c r="J457" s="269">
        <f t="shared" si="329"/>
        <v>0</v>
      </c>
      <c r="K457" s="269">
        <f t="shared" si="330"/>
        <v>0</v>
      </c>
      <c r="L457" s="269">
        <f t="shared" si="314"/>
        <v>0</v>
      </c>
      <c r="M457" s="269">
        <f t="shared" si="315"/>
        <v>0</v>
      </c>
      <c r="N457" s="233">
        <f>VLOOKUP(B457,Dados!$L$86:$P$90,5)</f>
        <v>0</v>
      </c>
      <c r="O457" s="270">
        <f t="shared" si="331"/>
        <v>0.99999999999999989</v>
      </c>
      <c r="P457" s="269">
        <f t="shared" si="332"/>
        <v>0</v>
      </c>
      <c r="Q457" s="269" t="e">
        <f t="shared" si="333"/>
        <v>#DIV/0!</v>
      </c>
      <c r="R457" s="269">
        <f t="shared" si="334"/>
        <v>0</v>
      </c>
      <c r="S457" s="269" t="e">
        <f t="shared" si="335"/>
        <v>#DIV/0!</v>
      </c>
      <c r="T457" s="269" t="e">
        <f t="shared" si="321"/>
        <v>#DIV/0!</v>
      </c>
      <c r="U457" s="234">
        <f t="shared" si="336"/>
        <v>0</v>
      </c>
      <c r="V457" s="232" t="e">
        <f t="shared" si="337"/>
        <v>#DIV/0!</v>
      </c>
      <c r="W457" s="269" t="e">
        <f t="shared" si="338"/>
        <v>#DIV/0!</v>
      </c>
      <c r="X457" s="235">
        <f t="shared" si="316"/>
        <v>0</v>
      </c>
      <c r="Y457" s="236">
        <f t="shared" si="339"/>
        <v>5</v>
      </c>
      <c r="Z457" s="236" t="e">
        <f t="shared" si="340"/>
        <v>#DIV/0!</v>
      </c>
      <c r="AA457" s="236">
        <f t="shared" si="341"/>
        <v>3</v>
      </c>
      <c r="AB457" s="236" t="e">
        <f t="shared" si="342"/>
        <v>#DIV/0!</v>
      </c>
      <c r="AC457" s="235">
        <f t="shared" si="343"/>
        <v>0</v>
      </c>
      <c r="AD457" s="235">
        <f t="shared" si="344"/>
        <v>0</v>
      </c>
      <c r="AE457" s="279">
        <f t="shared" si="345"/>
        <v>0</v>
      </c>
      <c r="AF457" s="232">
        <f t="shared" si="346"/>
        <v>0</v>
      </c>
      <c r="AG457" s="235">
        <f t="shared" si="347"/>
        <v>0</v>
      </c>
      <c r="AH457" s="269">
        <f t="shared" si="348"/>
        <v>0</v>
      </c>
      <c r="AI457" s="232">
        <f t="shared" si="349"/>
        <v>0</v>
      </c>
      <c r="AJ457" s="235">
        <f t="shared" si="350"/>
        <v>0</v>
      </c>
      <c r="AK457" s="269">
        <f t="shared" si="351"/>
        <v>0</v>
      </c>
      <c r="AL457" s="269">
        <f t="shared" si="317"/>
        <v>0</v>
      </c>
      <c r="AM457" s="281" t="e">
        <f>IF(B457&gt;=mpfo,pos*vvm*Dados!$E$122*(ntudv-SUM(U$301:$U458))-SUM($AM$13:AM456),0)</f>
        <v>#DIV/0!</v>
      </c>
      <c r="AN457" s="269" t="e">
        <f t="shared" si="352"/>
        <v>#DIV/0!</v>
      </c>
      <c r="AO457" s="232" t="e">
        <f t="shared" si="353"/>
        <v>#DIV/0!</v>
      </c>
      <c r="AP457" s="242" t="e">
        <f t="shared" si="354"/>
        <v>#DIV/0!</v>
      </c>
      <c r="AQ457" s="235" t="e">
        <f>IF(AP457+SUM($AQ$12:AQ456)&gt;=0,0,-AP457-SUM($AQ$12:AQ456))</f>
        <v>#DIV/0!</v>
      </c>
      <c r="AR457" s="235">
        <f>IF(SUM($N$13:N456)&gt;=pmo,IF(SUM(N456:$N$501)&gt;(1-pmo),B457,0),0)</f>
        <v>0</v>
      </c>
      <c r="AS457" s="235" t="e">
        <f>IF((SUM($U$13:$U456)/ntudv)&gt;=pmv,IF((SUM($U456:$U$501)/ntudv)&gt;(1-pmv),B457,0),0)</f>
        <v>#DIV/0!</v>
      </c>
      <c r="AT457" s="237" t="e">
        <f>IF(MAX(mmo,mmv)=mmo,IF(B457=AR457,(SUM(N$13:$N456)-pmo)/((1-VLOOKUP(MAX(mmo,mmv)-1,$B$13:$O$501,14))+(VLOOKUP(MAX(mmo,mmv)-1,$B$13:$O$501,14)-pmo)),N456/((1-VLOOKUP(MAX(mmo,mmv)-1,$B$13:$O$501,14)+(VLOOKUP(MAX(mmo,mmv)-1,$B$13:$O$501,14)-pmo)))),N456/(1-VLOOKUP(MAX(mmo,mmv)-2,$B$13:$O$501,14)))</f>
        <v>#DIV/0!</v>
      </c>
      <c r="AU457" s="101" t="e">
        <f t="shared" si="318"/>
        <v>#DIV/0!</v>
      </c>
      <c r="AV457" s="287" t="e">
        <f t="shared" si="319"/>
        <v>#DIV/0!</v>
      </c>
      <c r="AW457" s="235" t="e">
        <f t="shared" si="355"/>
        <v>#DIV/0!</v>
      </c>
      <c r="AX457" s="281">
        <f>IF(B457&gt;mpfo,0,IF(B457=mpfo,(vld-teo*(1+tcfo-incc)^(MAX(mmo,mmv)-mbfo))*-1,IF(SUM($N$13:N456)&gt;=pmo,IF(($V456/ntudv)&gt;=pmv,IF(B457=MAX(mmo,mmv),-teo*(1+tcfo-incc)^(B457-mbfo),0),0),0)))</f>
        <v>0</v>
      </c>
      <c r="AY457" s="292" t="e">
        <f t="shared" si="320"/>
        <v>#DIV/0!</v>
      </c>
      <c r="AZ457" s="235" t="e">
        <f t="shared" si="356"/>
        <v>#DIV/0!</v>
      </c>
      <c r="BA457" s="269" t="e">
        <f t="shared" si="357"/>
        <v>#DIV/0!</v>
      </c>
      <c r="BB457" s="292" t="e">
        <f t="shared" si="358"/>
        <v>#DIV/0!</v>
      </c>
      <c r="BC457" s="238" t="e">
        <f>IF(SUM($BC$13:BC456)&gt;0,0,IF(BB457&gt;0,B457,0))</f>
        <v>#DIV/0!</v>
      </c>
      <c r="BD457" s="292" t="e">
        <f>IF(BB457+SUM($BD$12:BD456)&gt;=0,0,-BB457-SUM($BD$12:BD456))</f>
        <v>#DIV/0!</v>
      </c>
      <c r="BE457" s="235" t="e">
        <f>BB457+SUM($BD$12:BD457)</f>
        <v>#DIV/0!</v>
      </c>
      <c r="BF457" s="292" t="e">
        <f>-MIN(BE457:$BE$501)-SUM(BF$12:$BF456)</f>
        <v>#DIV/0!</v>
      </c>
      <c r="BG457" s="235" t="e">
        <f t="shared" si="323"/>
        <v>#DIV/0!</v>
      </c>
    </row>
    <row r="458" spans="2:59">
      <c r="B458" s="246">
        <v>445</v>
      </c>
      <c r="C458" s="241">
        <f t="shared" si="322"/>
        <v>56223</v>
      </c>
      <c r="D458" s="229">
        <f t="shared" si="324"/>
        <v>12</v>
      </c>
      <c r="E458" s="230" t="str">
        <f t="shared" si="325"/>
        <v>-</v>
      </c>
      <c r="F458" s="231">
        <f t="shared" si="326"/>
        <v>0</v>
      </c>
      <c r="G458" s="231">
        <f t="shared" si="327"/>
        <v>0</v>
      </c>
      <c r="H458" s="231">
        <f t="shared" si="328"/>
        <v>0</v>
      </c>
      <c r="I458" s="268">
        <f t="shared" si="313"/>
        <v>0</v>
      </c>
      <c r="J458" s="269">
        <f t="shared" si="329"/>
        <v>0</v>
      </c>
      <c r="K458" s="269">
        <f t="shared" si="330"/>
        <v>0</v>
      </c>
      <c r="L458" s="269">
        <f t="shared" si="314"/>
        <v>0</v>
      </c>
      <c r="M458" s="269">
        <f t="shared" si="315"/>
        <v>0</v>
      </c>
      <c r="N458" s="233">
        <f>VLOOKUP(B458,Dados!$L$86:$P$90,5)</f>
        <v>0</v>
      </c>
      <c r="O458" s="270">
        <f t="shared" si="331"/>
        <v>0.99999999999999989</v>
      </c>
      <c r="P458" s="269">
        <f t="shared" si="332"/>
        <v>0</v>
      </c>
      <c r="Q458" s="269" t="e">
        <f t="shared" si="333"/>
        <v>#DIV/0!</v>
      </c>
      <c r="R458" s="269">
        <f t="shared" si="334"/>
        <v>0</v>
      </c>
      <c r="S458" s="269" t="e">
        <f t="shared" si="335"/>
        <v>#DIV/0!</v>
      </c>
      <c r="T458" s="269" t="e">
        <f t="shared" si="321"/>
        <v>#DIV/0!</v>
      </c>
      <c r="U458" s="234">
        <f t="shared" si="336"/>
        <v>0</v>
      </c>
      <c r="V458" s="232" t="e">
        <f t="shared" si="337"/>
        <v>#DIV/0!</v>
      </c>
      <c r="W458" s="269" t="e">
        <f t="shared" si="338"/>
        <v>#DIV/0!</v>
      </c>
      <c r="X458" s="235">
        <f t="shared" si="316"/>
        <v>0</v>
      </c>
      <c r="Y458" s="236">
        <f t="shared" si="339"/>
        <v>5</v>
      </c>
      <c r="Z458" s="236" t="e">
        <f t="shared" si="340"/>
        <v>#DIV/0!</v>
      </c>
      <c r="AA458" s="236">
        <f t="shared" si="341"/>
        <v>3</v>
      </c>
      <c r="AB458" s="236" t="e">
        <f t="shared" si="342"/>
        <v>#DIV/0!</v>
      </c>
      <c r="AC458" s="235">
        <f t="shared" si="343"/>
        <v>0</v>
      </c>
      <c r="AD458" s="235">
        <f t="shared" si="344"/>
        <v>0</v>
      </c>
      <c r="AE458" s="279">
        <f t="shared" si="345"/>
        <v>0</v>
      </c>
      <c r="AF458" s="232">
        <f t="shared" si="346"/>
        <v>1</v>
      </c>
      <c r="AG458" s="235">
        <f t="shared" si="347"/>
        <v>0</v>
      </c>
      <c r="AH458" s="269">
        <f t="shared" si="348"/>
        <v>0</v>
      </c>
      <c r="AI458" s="232">
        <f t="shared" si="349"/>
        <v>1</v>
      </c>
      <c r="AJ458" s="235">
        <f t="shared" si="350"/>
        <v>0</v>
      </c>
      <c r="AK458" s="269">
        <f t="shared" si="351"/>
        <v>0</v>
      </c>
      <c r="AL458" s="269">
        <f t="shared" si="317"/>
        <v>0</v>
      </c>
      <c r="AM458" s="281" t="e">
        <f>IF(B458&gt;=mpfo,pos*vvm*Dados!$E$122*(ntudv-SUM(U$301:$U459))-SUM($AM$13:AM457),0)</f>
        <v>#DIV/0!</v>
      </c>
      <c r="AN458" s="269" t="e">
        <f t="shared" si="352"/>
        <v>#DIV/0!</v>
      </c>
      <c r="AO458" s="232" t="e">
        <f t="shared" si="353"/>
        <v>#DIV/0!</v>
      </c>
      <c r="AP458" s="242" t="e">
        <f t="shared" si="354"/>
        <v>#DIV/0!</v>
      </c>
      <c r="AQ458" s="235" t="e">
        <f>IF(AP458+SUM($AQ$12:AQ457)&gt;=0,0,-AP458-SUM($AQ$12:AQ457))</f>
        <v>#DIV/0!</v>
      </c>
      <c r="AR458" s="235">
        <f>IF(SUM($N$13:N457)&gt;=pmo,IF(SUM(N457:$N$501)&gt;(1-pmo),B458,0),0)</f>
        <v>0</v>
      </c>
      <c r="AS458" s="235" t="e">
        <f>IF((SUM($U$13:$U457)/ntudv)&gt;=pmv,IF((SUM($U457:$U$501)/ntudv)&gt;(1-pmv),B458,0),0)</f>
        <v>#DIV/0!</v>
      </c>
      <c r="AT458" s="237" t="e">
        <f>IF(MAX(mmo,mmv)=mmo,IF(B458=AR458,(SUM(N$13:$N457)-pmo)/((1-VLOOKUP(MAX(mmo,mmv)-1,$B$13:$O$501,14))+(VLOOKUP(MAX(mmo,mmv)-1,$B$13:$O$501,14)-pmo)),N457/((1-VLOOKUP(MAX(mmo,mmv)-1,$B$13:$O$501,14)+(VLOOKUP(MAX(mmo,mmv)-1,$B$13:$O$501,14)-pmo)))),N457/(1-VLOOKUP(MAX(mmo,mmv)-2,$B$13:$O$501,14)))</f>
        <v>#DIV/0!</v>
      </c>
      <c r="AU458" s="101" t="e">
        <f t="shared" si="318"/>
        <v>#DIV/0!</v>
      </c>
      <c r="AV458" s="287" t="e">
        <f t="shared" si="319"/>
        <v>#DIV/0!</v>
      </c>
      <c r="AW458" s="235" t="e">
        <f t="shared" si="355"/>
        <v>#DIV/0!</v>
      </c>
      <c r="AX458" s="281">
        <f>IF(B458&gt;mpfo,0,IF(B458=mpfo,(vld-teo*(1+tcfo-incc)^(MAX(mmo,mmv)-mbfo))*-1,IF(SUM($N$13:N457)&gt;=pmo,IF(($V457/ntudv)&gt;=pmv,IF(B458=MAX(mmo,mmv),-teo*(1+tcfo-incc)^(B458-mbfo),0),0),0)))</f>
        <v>0</v>
      </c>
      <c r="AY458" s="292" t="e">
        <f t="shared" si="320"/>
        <v>#DIV/0!</v>
      </c>
      <c r="AZ458" s="235" t="e">
        <f t="shared" si="356"/>
        <v>#DIV/0!</v>
      </c>
      <c r="BA458" s="269" t="e">
        <f t="shared" si="357"/>
        <v>#DIV/0!</v>
      </c>
      <c r="BB458" s="292" t="e">
        <f t="shared" si="358"/>
        <v>#DIV/0!</v>
      </c>
      <c r="BC458" s="238" t="e">
        <f>IF(SUM($BC$13:BC457)&gt;0,0,IF(BB458&gt;0,B458,0))</f>
        <v>#DIV/0!</v>
      </c>
      <c r="BD458" s="292" t="e">
        <f>IF(BB458+SUM($BD$12:BD457)&gt;=0,0,-BB458-SUM($BD$12:BD457))</f>
        <v>#DIV/0!</v>
      </c>
      <c r="BE458" s="235" t="e">
        <f>BB458+SUM($BD$12:BD458)</f>
        <v>#DIV/0!</v>
      </c>
      <c r="BF458" s="292" t="e">
        <f>-MIN(BE458:$BE$501)-SUM(BF$12:$BF457)</f>
        <v>#DIV/0!</v>
      </c>
      <c r="BG458" s="235" t="e">
        <f t="shared" si="323"/>
        <v>#DIV/0!</v>
      </c>
    </row>
    <row r="459" spans="2:59">
      <c r="B459" s="120">
        <v>446</v>
      </c>
      <c r="C459" s="241">
        <f t="shared" si="322"/>
        <v>56254</v>
      </c>
      <c r="D459" s="229">
        <f t="shared" si="324"/>
        <v>1</v>
      </c>
      <c r="E459" s="230" t="str">
        <f t="shared" si="325"/>
        <v>-</v>
      </c>
      <c r="F459" s="231">
        <f t="shared" si="326"/>
        <v>0</v>
      </c>
      <c r="G459" s="231">
        <f t="shared" si="327"/>
        <v>0</v>
      </c>
      <c r="H459" s="231">
        <f t="shared" si="328"/>
        <v>0</v>
      </c>
      <c r="I459" s="268">
        <f t="shared" si="313"/>
        <v>0</v>
      </c>
      <c r="J459" s="269">
        <f t="shared" si="329"/>
        <v>0</v>
      </c>
      <c r="K459" s="269">
        <f t="shared" si="330"/>
        <v>0</v>
      </c>
      <c r="L459" s="269">
        <f t="shared" si="314"/>
        <v>0</v>
      </c>
      <c r="M459" s="269">
        <f t="shared" si="315"/>
        <v>0</v>
      </c>
      <c r="N459" s="233">
        <f>VLOOKUP(B459,Dados!$L$86:$P$90,5)</f>
        <v>0</v>
      </c>
      <c r="O459" s="270">
        <f t="shared" si="331"/>
        <v>0.99999999999999989</v>
      </c>
      <c r="P459" s="269">
        <f t="shared" si="332"/>
        <v>0</v>
      </c>
      <c r="Q459" s="269" t="e">
        <f t="shared" si="333"/>
        <v>#DIV/0!</v>
      </c>
      <c r="R459" s="269">
        <f t="shared" si="334"/>
        <v>0</v>
      </c>
      <c r="S459" s="269" t="e">
        <f t="shared" si="335"/>
        <v>#DIV/0!</v>
      </c>
      <c r="T459" s="269" t="e">
        <f t="shared" si="321"/>
        <v>#DIV/0!</v>
      </c>
      <c r="U459" s="234">
        <f t="shared" si="336"/>
        <v>0</v>
      </c>
      <c r="V459" s="232" t="e">
        <f t="shared" si="337"/>
        <v>#DIV/0!</v>
      </c>
      <c r="W459" s="269" t="e">
        <f t="shared" si="338"/>
        <v>#DIV/0!</v>
      </c>
      <c r="X459" s="235">
        <f t="shared" si="316"/>
        <v>0</v>
      </c>
      <c r="Y459" s="236">
        <f t="shared" si="339"/>
        <v>5</v>
      </c>
      <c r="Z459" s="236" t="e">
        <f t="shared" si="340"/>
        <v>#DIV/0!</v>
      </c>
      <c r="AA459" s="236">
        <f t="shared" si="341"/>
        <v>3</v>
      </c>
      <c r="AB459" s="236" t="e">
        <f t="shared" si="342"/>
        <v>#DIV/0!</v>
      </c>
      <c r="AC459" s="235">
        <f t="shared" si="343"/>
        <v>0</v>
      </c>
      <c r="AD459" s="235">
        <f t="shared" si="344"/>
        <v>0</v>
      </c>
      <c r="AE459" s="279">
        <f t="shared" si="345"/>
        <v>0</v>
      </c>
      <c r="AF459" s="232">
        <f t="shared" si="346"/>
        <v>0</v>
      </c>
      <c r="AG459" s="235">
        <f t="shared" si="347"/>
        <v>0</v>
      </c>
      <c r="AH459" s="269">
        <f t="shared" si="348"/>
        <v>0</v>
      </c>
      <c r="AI459" s="232">
        <f t="shared" si="349"/>
        <v>0</v>
      </c>
      <c r="AJ459" s="235">
        <f t="shared" si="350"/>
        <v>0</v>
      </c>
      <c r="AK459" s="269">
        <f t="shared" si="351"/>
        <v>0</v>
      </c>
      <c r="AL459" s="269">
        <f t="shared" si="317"/>
        <v>0</v>
      </c>
      <c r="AM459" s="281" t="e">
        <f>IF(B459&gt;=mpfo,pos*vvm*Dados!$E$122*(ntudv-SUM(U$301:$U460))-SUM($AM$13:AM458),0)</f>
        <v>#DIV/0!</v>
      </c>
      <c r="AN459" s="269" t="e">
        <f t="shared" si="352"/>
        <v>#DIV/0!</v>
      </c>
      <c r="AO459" s="232" t="e">
        <f t="shared" si="353"/>
        <v>#DIV/0!</v>
      </c>
      <c r="AP459" s="242" t="e">
        <f t="shared" si="354"/>
        <v>#DIV/0!</v>
      </c>
      <c r="AQ459" s="235" t="e">
        <f>IF(AP459+SUM($AQ$12:AQ458)&gt;=0,0,-AP459-SUM($AQ$12:AQ458))</f>
        <v>#DIV/0!</v>
      </c>
      <c r="AR459" s="235">
        <f>IF(SUM($N$13:N458)&gt;=pmo,IF(SUM(N458:$N$501)&gt;(1-pmo),B459,0),0)</f>
        <v>0</v>
      </c>
      <c r="AS459" s="235" t="e">
        <f>IF((SUM($U$13:$U458)/ntudv)&gt;=pmv,IF((SUM($U458:$U$501)/ntudv)&gt;(1-pmv),B459,0),0)</f>
        <v>#DIV/0!</v>
      </c>
      <c r="AT459" s="237" t="e">
        <f>IF(MAX(mmo,mmv)=mmo,IF(B459=AR459,(SUM(N$13:$N458)-pmo)/((1-VLOOKUP(MAX(mmo,mmv)-1,$B$13:$O$501,14))+(VLOOKUP(MAX(mmo,mmv)-1,$B$13:$O$501,14)-pmo)),N458/((1-VLOOKUP(MAX(mmo,mmv)-1,$B$13:$O$501,14)+(VLOOKUP(MAX(mmo,mmv)-1,$B$13:$O$501,14)-pmo)))),N458/(1-VLOOKUP(MAX(mmo,mmv)-2,$B$13:$O$501,14)))</f>
        <v>#DIV/0!</v>
      </c>
      <c r="AU459" s="101" t="e">
        <f t="shared" si="318"/>
        <v>#DIV/0!</v>
      </c>
      <c r="AV459" s="287" t="e">
        <f t="shared" si="319"/>
        <v>#DIV/0!</v>
      </c>
      <c r="AW459" s="235" t="e">
        <f t="shared" si="355"/>
        <v>#DIV/0!</v>
      </c>
      <c r="AX459" s="281">
        <f>IF(B459&gt;mpfo,0,IF(B459=mpfo,(vld-teo*(1+tcfo-incc)^(MAX(mmo,mmv)-mbfo))*-1,IF(SUM($N$13:N458)&gt;=pmo,IF(($V458/ntudv)&gt;=pmv,IF(B459=MAX(mmo,mmv),-teo*(1+tcfo-incc)^(B459-mbfo),0),0),0)))</f>
        <v>0</v>
      </c>
      <c r="AY459" s="292" t="e">
        <f t="shared" si="320"/>
        <v>#DIV/0!</v>
      </c>
      <c r="AZ459" s="235" t="e">
        <f t="shared" si="356"/>
        <v>#DIV/0!</v>
      </c>
      <c r="BA459" s="269" t="e">
        <f t="shared" si="357"/>
        <v>#DIV/0!</v>
      </c>
      <c r="BB459" s="292" t="e">
        <f t="shared" si="358"/>
        <v>#DIV/0!</v>
      </c>
      <c r="BC459" s="238" t="e">
        <f>IF(SUM($BC$13:BC458)&gt;0,0,IF(BB459&gt;0,B459,0))</f>
        <v>#DIV/0!</v>
      </c>
      <c r="BD459" s="292" t="e">
        <f>IF(BB459+SUM($BD$12:BD458)&gt;=0,0,-BB459-SUM($BD$12:BD458))</f>
        <v>#DIV/0!</v>
      </c>
      <c r="BE459" s="235" t="e">
        <f>BB459+SUM($BD$12:BD459)</f>
        <v>#DIV/0!</v>
      </c>
      <c r="BF459" s="292" t="e">
        <f>-MIN(BE459:$BE$501)-SUM(BF$12:$BF458)</f>
        <v>#DIV/0!</v>
      </c>
      <c r="BG459" s="235" t="e">
        <f t="shared" si="323"/>
        <v>#DIV/0!</v>
      </c>
    </row>
    <row r="460" spans="2:59">
      <c r="B460" s="246">
        <v>447</v>
      </c>
      <c r="C460" s="241">
        <f t="shared" si="322"/>
        <v>56285</v>
      </c>
      <c r="D460" s="229">
        <f t="shared" si="324"/>
        <v>2</v>
      </c>
      <c r="E460" s="230" t="str">
        <f t="shared" si="325"/>
        <v>-</v>
      </c>
      <c r="F460" s="231">
        <f t="shared" si="326"/>
        <v>0</v>
      </c>
      <c r="G460" s="231">
        <f t="shared" si="327"/>
        <v>0</v>
      </c>
      <c r="H460" s="231">
        <f t="shared" si="328"/>
        <v>0</v>
      </c>
      <c r="I460" s="268">
        <f t="shared" si="313"/>
        <v>0</v>
      </c>
      <c r="J460" s="269">
        <f t="shared" si="329"/>
        <v>0</v>
      </c>
      <c r="K460" s="269">
        <f t="shared" si="330"/>
        <v>0</v>
      </c>
      <c r="L460" s="269">
        <f t="shared" si="314"/>
        <v>0</v>
      </c>
      <c r="M460" s="269">
        <f t="shared" si="315"/>
        <v>0</v>
      </c>
      <c r="N460" s="233">
        <f>VLOOKUP(B460,Dados!$L$86:$P$90,5)</f>
        <v>0</v>
      </c>
      <c r="O460" s="270">
        <f t="shared" si="331"/>
        <v>0.99999999999999989</v>
      </c>
      <c r="P460" s="269">
        <f t="shared" si="332"/>
        <v>0</v>
      </c>
      <c r="Q460" s="269" t="e">
        <f t="shared" si="333"/>
        <v>#DIV/0!</v>
      </c>
      <c r="R460" s="269">
        <f t="shared" si="334"/>
        <v>0</v>
      </c>
      <c r="S460" s="269" t="e">
        <f t="shared" si="335"/>
        <v>#DIV/0!</v>
      </c>
      <c r="T460" s="269" t="e">
        <f t="shared" si="321"/>
        <v>#DIV/0!</v>
      </c>
      <c r="U460" s="234">
        <f t="shared" si="336"/>
        <v>0</v>
      </c>
      <c r="V460" s="232" t="e">
        <f t="shared" si="337"/>
        <v>#DIV/0!</v>
      </c>
      <c r="W460" s="269" t="e">
        <f t="shared" si="338"/>
        <v>#DIV/0!</v>
      </c>
      <c r="X460" s="235">
        <f t="shared" si="316"/>
        <v>0</v>
      </c>
      <c r="Y460" s="236">
        <f t="shared" si="339"/>
        <v>5</v>
      </c>
      <c r="Z460" s="236" t="e">
        <f t="shared" si="340"/>
        <v>#DIV/0!</v>
      </c>
      <c r="AA460" s="236">
        <f t="shared" si="341"/>
        <v>3</v>
      </c>
      <c r="AB460" s="236" t="e">
        <f t="shared" si="342"/>
        <v>#DIV/0!</v>
      </c>
      <c r="AC460" s="235">
        <f t="shared" si="343"/>
        <v>0</v>
      </c>
      <c r="AD460" s="235">
        <f t="shared" si="344"/>
        <v>0</v>
      </c>
      <c r="AE460" s="279">
        <f t="shared" si="345"/>
        <v>0</v>
      </c>
      <c r="AF460" s="232">
        <f t="shared" si="346"/>
        <v>0</v>
      </c>
      <c r="AG460" s="235">
        <f t="shared" si="347"/>
        <v>0</v>
      </c>
      <c r="AH460" s="269">
        <f t="shared" si="348"/>
        <v>0</v>
      </c>
      <c r="AI460" s="232">
        <f t="shared" si="349"/>
        <v>0</v>
      </c>
      <c r="AJ460" s="235">
        <f t="shared" si="350"/>
        <v>0</v>
      </c>
      <c r="AK460" s="269">
        <f t="shared" si="351"/>
        <v>0</v>
      </c>
      <c r="AL460" s="269">
        <f t="shared" si="317"/>
        <v>0</v>
      </c>
      <c r="AM460" s="281" t="e">
        <f>IF(B460&gt;=mpfo,pos*vvm*Dados!$E$122*(ntudv-SUM(U$301:$U461))-SUM($AM$13:AM459),0)</f>
        <v>#DIV/0!</v>
      </c>
      <c r="AN460" s="269" t="e">
        <f t="shared" si="352"/>
        <v>#DIV/0!</v>
      </c>
      <c r="AO460" s="232" t="e">
        <f t="shared" si="353"/>
        <v>#DIV/0!</v>
      </c>
      <c r="AP460" s="242" t="e">
        <f t="shared" si="354"/>
        <v>#DIV/0!</v>
      </c>
      <c r="AQ460" s="235" t="e">
        <f>IF(AP460+SUM($AQ$12:AQ459)&gt;=0,0,-AP460-SUM($AQ$12:AQ459))</f>
        <v>#DIV/0!</v>
      </c>
      <c r="AR460" s="235">
        <f>IF(SUM($N$13:N459)&gt;=pmo,IF(SUM(N459:$N$501)&gt;(1-pmo),B460,0),0)</f>
        <v>0</v>
      </c>
      <c r="AS460" s="235" t="e">
        <f>IF((SUM($U$13:$U459)/ntudv)&gt;=pmv,IF((SUM($U459:$U$501)/ntudv)&gt;(1-pmv),B460,0),0)</f>
        <v>#DIV/0!</v>
      </c>
      <c r="AT460" s="237" t="e">
        <f>IF(MAX(mmo,mmv)=mmo,IF(B460=AR460,(SUM(N$13:$N459)-pmo)/((1-VLOOKUP(MAX(mmo,mmv)-1,$B$13:$O$501,14))+(VLOOKUP(MAX(mmo,mmv)-1,$B$13:$O$501,14)-pmo)),N459/((1-VLOOKUP(MAX(mmo,mmv)-1,$B$13:$O$501,14)+(VLOOKUP(MAX(mmo,mmv)-1,$B$13:$O$501,14)-pmo)))),N459/(1-VLOOKUP(MAX(mmo,mmv)-2,$B$13:$O$501,14)))</f>
        <v>#DIV/0!</v>
      </c>
      <c r="AU460" s="101" t="e">
        <f t="shared" si="318"/>
        <v>#DIV/0!</v>
      </c>
      <c r="AV460" s="287" t="e">
        <f t="shared" si="319"/>
        <v>#DIV/0!</v>
      </c>
      <c r="AW460" s="235" t="e">
        <f t="shared" si="355"/>
        <v>#DIV/0!</v>
      </c>
      <c r="AX460" s="281">
        <f>IF(B460&gt;mpfo,0,IF(B460=mpfo,(vld-teo*(1+tcfo-incc)^(MAX(mmo,mmv)-mbfo))*-1,IF(SUM($N$13:N459)&gt;=pmo,IF(($V459/ntudv)&gt;=pmv,IF(B460=MAX(mmo,mmv),-teo*(1+tcfo-incc)^(B460-mbfo),0),0),0)))</f>
        <v>0</v>
      </c>
      <c r="AY460" s="292" t="e">
        <f t="shared" si="320"/>
        <v>#DIV/0!</v>
      </c>
      <c r="AZ460" s="235" t="e">
        <f t="shared" si="356"/>
        <v>#DIV/0!</v>
      </c>
      <c r="BA460" s="269" t="e">
        <f t="shared" si="357"/>
        <v>#DIV/0!</v>
      </c>
      <c r="BB460" s="292" t="e">
        <f t="shared" si="358"/>
        <v>#DIV/0!</v>
      </c>
      <c r="BC460" s="238" t="e">
        <f>IF(SUM($BC$13:BC459)&gt;0,0,IF(BB460&gt;0,B460,0))</f>
        <v>#DIV/0!</v>
      </c>
      <c r="BD460" s="292" t="e">
        <f>IF(BB460+SUM($BD$12:BD459)&gt;=0,0,-BB460-SUM($BD$12:BD459))</f>
        <v>#DIV/0!</v>
      </c>
      <c r="BE460" s="235" t="e">
        <f>BB460+SUM($BD$12:BD460)</f>
        <v>#DIV/0!</v>
      </c>
      <c r="BF460" s="292" t="e">
        <f>-MIN(BE460:$BE$501)-SUM(BF$12:$BF459)</f>
        <v>#DIV/0!</v>
      </c>
      <c r="BG460" s="235" t="e">
        <f t="shared" si="323"/>
        <v>#DIV/0!</v>
      </c>
    </row>
    <row r="461" spans="2:59">
      <c r="B461" s="120">
        <v>448</v>
      </c>
      <c r="C461" s="241">
        <f t="shared" si="322"/>
        <v>56313</v>
      </c>
      <c r="D461" s="229">
        <f t="shared" si="324"/>
        <v>3</v>
      </c>
      <c r="E461" s="230" t="str">
        <f t="shared" si="325"/>
        <v>-</v>
      </c>
      <c r="F461" s="231">
        <f t="shared" si="326"/>
        <v>0</v>
      </c>
      <c r="G461" s="231">
        <f t="shared" si="327"/>
        <v>0</v>
      </c>
      <c r="H461" s="231">
        <f t="shared" si="328"/>
        <v>0</v>
      </c>
      <c r="I461" s="268">
        <f t="shared" ref="I461:I501" si="359">IF(cmt="SC",G461,IF(cmt="INCC",H461,IF(B461&gt;(mpt+npt),0,IF(B461&lt;(mpt+npt+1),IF(B461&gt;mpt,(vtd-vst)/npt,IF(B461=mpt,vst,0))))))*-1-F461+J461</f>
        <v>0</v>
      </c>
      <c r="J461" s="269">
        <f t="shared" si="329"/>
        <v>0</v>
      </c>
      <c r="K461" s="269">
        <f t="shared" si="330"/>
        <v>0</v>
      </c>
      <c r="L461" s="269">
        <f t="shared" ref="L461:L501" si="360">IF($B461&gt;mppe+npppe,0,IF($B461&lt;mppe+npppe,IF($B461&gt;=mppe,ppe*vgv/npppe,0),0))*-1</f>
        <v>0</v>
      </c>
      <c r="M461" s="269">
        <f t="shared" ref="M461:M501" si="361">IF($B461&gt;mppm+npppm,0,IF($B461&lt;mppm+npppm,IF($B461&gt;=mppm,ppm*vgv/npppm,0),0))*-1</f>
        <v>0</v>
      </c>
      <c r="N461" s="233">
        <f>VLOOKUP(B461,Dados!$L$86:$P$90,5)</f>
        <v>0</v>
      </c>
      <c r="O461" s="270">
        <f t="shared" si="331"/>
        <v>0.99999999999999989</v>
      </c>
      <c r="P461" s="269">
        <f t="shared" si="332"/>
        <v>0</v>
      </c>
      <c r="Q461" s="269" t="e">
        <f t="shared" si="333"/>
        <v>#DIV/0!</v>
      </c>
      <c r="R461" s="269">
        <f t="shared" si="334"/>
        <v>0</v>
      </c>
      <c r="S461" s="269" t="e">
        <f t="shared" si="335"/>
        <v>#DIV/0!</v>
      </c>
      <c r="T461" s="269" t="e">
        <f t="shared" si="321"/>
        <v>#DIV/0!</v>
      </c>
      <c r="U461" s="234">
        <f t="shared" si="336"/>
        <v>0</v>
      </c>
      <c r="V461" s="232" t="e">
        <f t="shared" si="337"/>
        <v>#DIV/0!</v>
      </c>
      <c r="W461" s="269" t="e">
        <f t="shared" si="338"/>
        <v>#DIV/0!</v>
      </c>
      <c r="X461" s="235">
        <f t="shared" ref="X461:X501" si="362">IF(B461-mlan&lt;0,0,IF(U461=0,0,IF(B461-mlan&gt;npm,vtpm*U461,(B461-mlan)*vvm*mdo/npm*U461)))</f>
        <v>0</v>
      </c>
      <c r="Y461" s="236">
        <f t="shared" si="339"/>
        <v>5</v>
      </c>
      <c r="Z461" s="236" t="e">
        <f t="shared" si="340"/>
        <v>#DIV/0!</v>
      </c>
      <c r="AA461" s="236">
        <f t="shared" si="341"/>
        <v>3</v>
      </c>
      <c r="AB461" s="236" t="e">
        <f t="shared" si="342"/>
        <v>#DIV/0!</v>
      </c>
      <c r="AC461" s="235">
        <f t="shared" si="343"/>
        <v>0</v>
      </c>
      <c r="AD461" s="235">
        <f t="shared" si="344"/>
        <v>0</v>
      </c>
      <c r="AE461" s="279">
        <f t="shared" si="345"/>
        <v>0</v>
      </c>
      <c r="AF461" s="232">
        <f t="shared" si="346"/>
        <v>0</v>
      </c>
      <c r="AG461" s="235">
        <f t="shared" si="347"/>
        <v>0</v>
      </c>
      <c r="AH461" s="269">
        <f t="shared" si="348"/>
        <v>0</v>
      </c>
      <c r="AI461" s="232">
        <f t="shared" si="349"/>
        <v>0</v>
      </c>
      <c r="AJ461" s="235">
        <f t="shared" si="350"/>
        <v>0</v>
      </c>
      <c r="AK461" s="269">
        <f t="shared" si="351"/>
        <v>0</v>
      </c>
      <c r="AL461" s="269">
        <f t="shared" ref="AL461:AL501" si="363">IF(B461=mec,cha*ntudv*vvm,0)</f>
        <v>0</v>
      </c>
      <c r="AM461" s="281" t="e">
        <f>IF(B461&gt;=mpfo,pos*vvm*Dados!$E$122*(ntudv-SUM(U$301:$U462))-SUM($AM$13:AM460),0)</f>
        <v>#DIV/0!</v>
      </c>
      <c r="AN461" s="269" t="e">
        <f t="shared" si="352"/>
        <v>#DIV/0!</v>
      </c>
      <c r="AO461" s="232" t="e">
        <f t="shared" si="353"/>
        <v>#DIV/0!</v>
      </c>
      <c r="AP461" s="242" t="e">
        <f t="shared" si="354"/>
        <v>#DIV/0!</v>
      </c>
      <c r="AQ461" s="235" t="e">
        <f>IF(AP461+SUM($AQ$12:AQ460)&gt;=0,0,-AP461-SUM($AQ$12:AQ460))</f>
        <v>#DIV/0!</v>
      </c>
      <c r="AR461" s="235">
        <f>IF(SUM($N$13:N460)&gt;=pmo,IF(SUM(N460:$N$501)&gt;(1-pmo),B461,0),0)</f>
        <v>0</v>
      </c>
      <c r="AS461" s="235" t="e">
        <f>IF((SUM($U$13:$U460)/ntudv)&gt;=pmv,IF((SUM($U460:$U$501)/ntudv)&gt;(1-pmv),B461,0),0)</f>
        <v>#DIV/0!</v>
      </c>
      <c r="AT461" s="237" t="e">
        <f>IF(MAX(mmo,mmv)=mmo,IF(B461=AR461,(SUM(N$13:$N460)-pmo)/((1-VLOOKUP(MAX(mmo,mmv)-1,$B$13:$O$501,14))+(VLOOKUP(MAX(mmo,mmv)-1,$B$13:$O$501,14)-pmo)),N460/((1-VLOOKUP(MAX(mmo,mmv)-1,$B$13:$O$501,14)+(VLOOKUP(MAX(mmo,mmv)-1,$B$13:$O$501,14)-pmo)))),N460/(1-VLOOKUP(MAX(mmo,mmv)-2,$B$13:$O$501,14)))</f>
        <v>#DIV/0!</v>
      </c>
      <c r="AU461" s="101" t="e">
        <f t="shared" ref="AU461:AU501" si="364">IF(B461=MAX(mmo,mmv),teo,0)*(1+tcfo-incc)^(B461-mbfo)</f>
        <v>#DIV/0!</v>
      </c>
      <c r="AV461" s="287" t="e">
        <f t="shared" ref="AV461:AV501" si="365">IF(B461&gt;=MAX(mmo,mmv),IF(B461&lt;(mco+2),(vfo-teo)*AT461,0),0)*(1+tcfo-incc)^(B461-mbfo)+AU461</f>
        <v>#DIV/0!</v>
      </c>
      <c r="AW461" s="235" t="e">
        <f t="shared" si="355"/>
        <v>#DIV/0!</v>
      </c>
      <c r="AX461" s="281">
        <f>IF(B461&gt;mpfo,0,IF(B461=mpfo,(vld-teo*(1+tcfo-incc)^(MAX(mmo,mmv)-mbfo))*-1,IF(SUM($N$13:N460)&gt;=pmo,IF(($V460/ntudv)&gt;=pmv,IF(B461=MAX(mmo,mmv),-teo*(1+tcfo-incc)^(B461-mbfo),0),0),0)))</f>
        <v>0</v>
      </c>
      <c r="AY461" s="292" t="e">
        <f t="shared" ref="AY461:AY501" si="366">IF(IF(cjfo="M",(AZ460)*jfo,IF(B461=mpfo,AW461+AX461,0))*-1&gt;0,0,IF(cjfo="M",(AZ460)*jfo,IF(B461=mpfo,AW461+AX461,0))*-1)</f>
        <v>#DIV/0!</v>
      </c>
      <c r="AZ461" s="235" t="e">
        <f t="shared" si="356"/>
        <v>#DIV/0!</v>
      </c>
      <c r="BA461" s="269" t="e">
        <f t="shared" si="357"/>
        <v>#DIV/0!</v>
      </c>
      <c r="BB461" s="292" t="e">
        <f t="shared" si="358"/>
        <v>#DIV/0!</v>
      </c>
      <c r="BC461" s="238" t="e">
        <f>IF(SUM($BC$13:BC460)&gt;0,0,IF(BB461&gt;0,B461,0))</f>
        <v>#DIV/0!</v>
      </c>
      <c r="BD461" s="292" t="e">
        <f>IF(BB461+SUM($BD$12:BD460)&gt;=0,0,-BB461-SUM($BD$12:BD460))</f>
        <v>#DIV/0!</v>
      </c>
      <c r="BE461" s="235" t="e">
        <f>BB461+SUM($BD$12:BD461)</f>
        <v>#DIV/0!</v>
      </c>
      <c r="BF461" s="292" t="e">
        <f>-MIN(BE461:$BE$501)-SUM(BF$12:$BF460)</f>
        <v>#DIV/0!</v>
      </c>
      <c r="BG461" s="235" t="e">
        <f t="shared" si="323"/>
        <v>#DIV/0!</v>
      </c>
    </row>
    <row r="462" spans="2:59">
      <c r="B462" s="246">
        <v>449</v>
      </c>
      <c r="C462" s="241">
        <f t="shared" si="322"/>
        <v>56344</v>
      </c>
      <c r="D462" s="229">
        <f t="shared" si="324"/>
        <v>4</v>
      </c>
      <c r="E462" s="230" t="str">
        <f t="shared" si="325"/>
        <v>-</v>
      </c>
      <c r="F462" s="231">
        <f t="shared" si="326"/>
        <v>0</v>
      </c>
      <c r="G462" s="231">
        <f t="shared" si="327"/>
        <v>0</v>
      </c>
      <c r="H462" s="231">
        <f t="shared" si="328"/>
        <v>0</v>
      </c>
      <c r="I462" s="268">
        <f t="shared" si="359"/>
        <v>0</v>
      </c>
      <c r="J462" s="269">
        <f t="shared" si="329"/>
        <v>0</v>
      </c>
      <c r="K462" s="269">
        <f t="shared" si="330"/>
        <v>0</v>
      </c>
      <c r="L462" s="269">
        <f t="shared" si="360"/>
        <v>0</v>
      </c>
      <c r="M462" s="269">
        <f t="shared" si="361"/>
        <v>0</v>
      </c>
      <c r="N462" s="233">
        <f>VLOOKUP(B462,Dados!$L$86:$P$90,5)</f>
        <v>0</v>
      </c>
      <c r="O462" s="270">
        <f t="shared" si="331"/>
        <v>0.99999999999999989</v>
      </c>
      <c r="P462" s="269">
        <f t="shared" si="332"/>
        <v>0</v>
      </c>
      <c r="Q462" s="269" t="e">
        <f t="shared" si="333"/>
        <v>#DIV/0!</v>
      </c>
      <c r="R462" s="269">
        <f t="shared" si="334"/>
        <v>0</v>
      </c>
      <c r="S462" s="269" t="e">
        <f t="shared" si="335"/>
        <v>#DIV/0!</v>
      </c>
      <c r="T462" s="269" t="e">
        <f t="shared" ref="T462:T501" si="367">S462+P462+M462+L462+K462+I462+R462+Q462</f>
        <v>#DIV/0!</v>
      </c>
      <c r="U462" s="234">
        <f t="shared" si="336"/>
        <v>0</v>
      </c>
      <c r="V462" s="232" t="e">
        <f t="shared" si="337"/>
        <v>#DIV/0!</v>
      </c>
      <c r="W462" s="269" t="e">
        <f t="shared" si="338"/>
        <v>#DIV/0!</v>
      </c>
      <c r="X462" s="235">
        <f t="shared" si="362"/>
        <v>0</v>
      </c>
      <c r="Y462" s="236">
        <f t="shared" si="339"/>
        <v>5</v>
      </c>
      <c r="Z462" s="236" t="e">
        <f t="shared" si="340"/>
        <v>#DIV/0!</v>
      </c>
      <c r="AA462" s="236">
        <f t="shared" si="341"/>
        <v>3</v>
      </c>
      <c r="AB462" s="236" t="e">
        <f t="shared" si="342"/>
        <v>#DIV/0!</v>
      </c>
      <c r="AC462" s="235">
        <f t="shared" si="343"/>
        <v>0</v>
      </c>
      <c r="AD462" s="235">
        <f t="shared" si="344"/>
        <v>0</v>
      </c>
      <c r="AE462" s="279">
        <f t="shared" si="345"/>
        <v>0</v>
      </c>
      <c r="AF462" s="232">
        <f t="shared" si="346"/>
        <v>0</v>
      </c>
      <c r="AG462" s="235">
        <f t="shared" si="347"/>
        <v>0</v>
      </c>
      <c r="AH462" s="269">
        <f t="shared" si="348"/>
        <v>0</v>
      </c>
      <c r="AI462" s="232">
        <f t="shared" si="349"/>
        <v>0</v>
      </c>
      <c r="AJ462" s="235">
        <f t="shared" si="350"/>
        <v>0</v>
      </c>
      <c r="AK462" s="269">
        <f t="shared" si="351"/>
        <v>0</v>
      </c>
      <c r="AL462" s="269">
        <f t="shared" si="363"/>
        <v>0</v>
      </c>
      <c r="AM462" s="281" t="e">
        <f>IF(B462&gt;=mpfo,pos*vvm*Dados!$E$122*(ntudv-SUM(U$301:$U463))-SUM($AM$13:AM461),0)</f>
        <v>#DIV/0!</v>
      </c>
      <c r="AN462" s="269" t="e">
        <f t="shared" si="352"/>
        <v>#DIV/0!</v>
      </c>
      <c r="AO462" s="232" t="e">
        <f t="shared" si="353"/>
        <v>#DIV/0!</v>
      </c>
      <c r="AP462" s="242" t="e">
        <f t="shared" si="354"/>
        <v>#DIV/0!</v>
      </c>
      <c r="AQ462" s="235" t="e">
        <f>IF(AP462+SUM($AQ$12:AQ461)&gt;=0,0,-AP462-SUM($AQ$12:AQ461))</f>
        <v>#DIV/0!</v>
      </c>
      <c r="AR462" s="235">
        <f>IF(SUM($N$13:N461)&gt;=pmo,IF(SUM(N461:$N$501)&gt;(1-pmo),B462,0),0)</f>
        <v>0</v>
      </c>
      <c r="AS462" s="235" t="e">
        <f>IF((SUM($U$13:$U461)/ntudv)&gt;=pmv,IF((SUM($U461:$U$501)/ntudv)&gt;(1-pmv),B462,0),0)</f>
        <v>#DIV/0!</v>
      </c>
      <c r="AT462" s="237" t="e">
        <f>IF(MAX(mmo,mmv)=mmo,IF(B462=AR462,(SUM(N$13:$N461)-pmo)/((1-VLOOKUP(MAX(mmo,mmv)-1,$B$13:$O$501,14))+(VLOOKUP(MAX(mmo,mmv)-1,$B$13:$O$501,14)-pmo)),N461/((1-VLOOKUP(MAX(mmo,mmv)-1,$B$13:$O$501,14)+(VLOOKUP(MAX(mmo,mmv)-1,$B$13:$O$501,14)-pmo)))),N461/(1-VLOOKUP(MAX(mmo,mmv)-2,$B$13:$O$501,14)))</f>
        <v>#DIV/0!</v>
      </c>
      <c r="AU462" s="101" t="e">
        <f t="shared" si="364"/>
        <v>#DIV/0!</v>
      </c>
      <c r="AV462" s="287" t="e">
        <f t="shared" si="365"/>
        <v>#DIV/0!</v>
      </c>
      <c r="AW462" s="235" t="e">
        <f t="shared" si="355"/>
        <v>#DIV/0!</v>
      </c>
      <c r="AX462" s="281">
        <f>IF(B462&gt;mpfo,0,IF(B462=mpfo,(vld-teo*(1+tcfo-incc)^(MAX(mmo,mmv)-mbfo))*-1,IF(SUM($N$13:N461)&gt;=pmo,IF(($V461/ntudv)&gt;=pmv,IF(B462=MAX(mmo,mmv),-teo*(1+tcfo-incc)^(B462-mbfo),0),0),0)))</f>
        <v>0</v>
      </c>
      <c r="AY462" s="292" t="e">
        <f t="shared" si="366"/>
        <v>#DIV/0!</v>
      </c>
      <c r="AZ462" s="235" t="e">
        <f t="shared" si="356"/>
        <v>#DIV/0!</v>
      </c>
      <c r="BA462" s="269" t="e">
        <f t="shared" si="357"/>
        <v>#DIV/0!</v>
      </c>
      <c r="BB462" s="292" t="e">
        <f t="shared" si="358"/>
        <v>#DIV/0!</v>
      </c>
      <c r="BC462" s="238" t="e">
        <f>IF(SUM($BC$13:BC461)&gt;0,0,IF(BB462&gt;0,B462,0))</f>
        <v>#DIV/0!</v>
      </c>
      <c r="BD462" s="292" t="e">
        <f>IF(BB462+SUM($BD$12:BD461)&gt;=0,0,-BB462-SUM($BD$12:BD461))</f>
        <v>#DIV/0!</v>
      </c>
      <c r="BE462" s="235" t="e">
        <f>BB462+SUM($BD$12:BD462)</f>
        <v>#DIV/0!</v>
      </c>
      <c r="BF462" s="292" t="e">
        <f>-MIN(BE462:$BE$501)-SUM(BF$12:$BF461)</f>
        <v>#DIV/0!</v>
      </c>
      <c r="BG462" s="235" t="e">
        <f t="shared" si="323"/>
        <v>#DIV/0!</v>
      </c>
    </row>
    <row r="463" spans="2:59">
      <c r="B463" s="120">
        <v>450</v>
      </c>
      <c r="C463" s="241">
        <f t="shared" ref="C463:C501" si="368">DATE(YEAR(C462),MONTH(C462)+1,DAY(C462))</f>
        <v>56374</v>
      </c>
      <c r="D463" s="229">
        <f t="shared" si="324"/>
        <v>5</v>
      </c>
      <c r="E463" s="230" t="str">
        <f t="shared" si="325"/>
        <v>-</v>
      </c>
      <c r="F463" s="231">
        <f t="shared" si="326"/>
        <v>0</v>
      </c>
      <c r="G463" s="231">
        <f t="shared" si="327"/>
        <v>0</v>
      </c>
      <c r="H463" s="231">
        <f t="shared" si="328"/>
        <v>0</v>
      </c>
      <c r="I463" s="268">
        <f t="shared" si="359"/>
        <v>0</v>
      </c>
      <c r="J463" s="269">
        <f t="shared" si="329"/>
        <v>0</v>
      </c>
      <c r="K463" s="269">
        <f t="shared" si="330"/>
        <v>0</v>
      </c>
      <c r="L463" s="269">
        <f t="shared" si="360"/>
        <v>0</v>
      </c>
      <c r="M463" s="269">
        <f t="shared" si="361"/>
        <v>0</v>
      </c>
      <c r="N463" s="233">
        <f>VLOOKUP(B463,Dados!$L$86:$P$90,5)</f>
        <v>0</v>
      </c>
      <c r="O463" s="270">
        <f t="shared" si="331"/>
        <v>0.99999999999999989</v>
      </c>
      <c r="P463" s="269">
        <f t="shared" si="332"/>
        <v>0</v>
      </c>
      <c r="Q463" s="269" t="e">
        <f t="shared" si="333"/>
        <v>#DIV/0!</v>
      </c>
      <c r="R463" s="269">
        <f t="shared" si="334"/>
        <v>0</v>
      </c>
      <c r="S463" s="269" t="e">
        <f t="shared" si="335"/>
        <v>#DIV/0!</v>
      </c>
      <c r="T463" s="269" t="e">
        <f t="shared" si="367"/>
        <v>#DIV/0!</v>
      </c>
      <c r="U463" s="234">
        <f t="shared" si="336"/>
        <v>0</v>
      </c>
      <c r="V463" s="232" t="e">
        <f t="shared" si="337"/>
        <v>#DIV/0!</v>
      </c>
      <c r="W463" s="269" t="e">
        <f t="shared" si="338"/>
        <v>#DIV/0!</v>
      </c>
      <c r="X463" s="235">
        <f t="shared" si="362"/>
        <v>0</v>
      </c>
      <c r="Y463" s="236">
        <f t="shared" si="339"/>
        <v>5</v>
      </c>
      <c r="Z463" s="236" t="e">
        <f t="shared" si="340"/>
        <v>#DIV/0!</v>
      </c>
      <c r="AA463" s="236">
        <f t="shared" si="341"/>
        <v>3</v>
      </c>
      <c r="AB463" s="236" t="e">
        <f t="shared" si="342"/>
        <v>#DIV/0!</v>
      </c>
      <c r="AC463" s="235">
        <f t="shared" si="343"/>
        <v>0</v>
      </c>
      <c r="AD463" s="235">
        <f t="shared" si="344"/>
        <v>0</v>
      </c>
      <c r="AE463" s="279">
        <f t="shared" si="345"/>
        <v>0</v>
      </c>
      <c r="AF463" s="232">
        <f t="shared" si="346"/>
        <v>0</v>
      </c>
      <c r="AG463" s="235">
        <f t="shared" si="347"/>
        <v>0</v>
      </c>
      <c r="AH463" s="269">
        <f t="shared" si="348"/>
        <v>0</v>
      </c>
      <c r="AI463" s="232">
        <f t="shared" si="349"/>
        <v>0</v>
      </c>
      <c r="AJ463" s="235">
        <f t="shared" si="350"/>
        <v>0</v>
      </c>
      <c r="AK463" s="269">
        <f t="shared" si="351"/>
        <v>0</v>
      </c>
      <c r="AL463" s="269">
        <f t="shared" si="363"/>
        <v>0</v>
      </c>
      <c r="AM463" s="281" t="e">
        <f>IF(B463&gt;=mpfo,pos*vvm*Dados!$E$122*(ntudv-SUM(U$301:$U464))-SUM($AM$13:AM462),0)</f>
        <v>#DIV/0!</v>
      </c>
      <c r="AN463" s="269" t="e">
        <f t="shared" si="352"/>
        <v>#DIV/0!</v>
      </c>
      <c r="AO463" s="232" t="e">
        <f t="shared" si="353"/>
        <v>#DIV/0!</v>
      </c>
      <c r="AP463" s="242" t="e">
        <f t="shared" si="354"/>
        <v>#DIV/0!</v>
      </c>
      <c r="AQ463" s="235" t="e">
        <f>IF(AP463+SUM($AQ$12:AQ462)&gt;=0,0,-AP463-SUM($AQ$12:AQ462))</f>
        <v>#DIV/0!</v>
      </c>
      <c r="AR463" s="235">
        <f>IF(SUM($N$13:N462)&gt;=pmo,IF(SUM(N462:$N$501)&gt;(1-pmo),B463,0),0)</f>
        <v>0</v>
      </c>
      <c r="AS463" s="235" t="e">
        <f>IF((SUM($U$13:$U462)/ntudv)&gt;=pmv,IF((SUM($U462:$U$501)/ntudv)&gt;(1-pmv),B463,0),0)</f>
        <v>#DIV/0!</v>
      </c>
      <c r="AT463" s="237" t="e">
        <f>IF(MAX(mmo,mmv)=mmo,IF(B463=AR463,(SUM(N$13:$N462)-pmo)/((1-VLOOKUP(MAX(mmo,mmv)-1,$B$13:$O$501,14))+(VLOOKUP(MAX(mmo,mmv)-1,$B$13:$O$501,14)-pmo)),N462/((1-VLOOKUP(MAX(mmo,mmv)-1,$B$13:$O$501,14)+(VLOOKUP(MAX(mmo,mmv)-1,$B$13:$O$501,14)-pmo)))),N462/(1-VLOOKUP(MAX(mmo,mmv)-2,$B$13:$O$501,14)))</f>
        <v>#DIV/0!</v>
      </c>
      <c r="AU463" s="101" t="e">
        <f t="shared" si="364"/>
        <v>#DIV/0!</v>
      </c>
      <c r="AV463" s="287" t="e">
        <f t="shared" si="365"/>
        <v>#DIV/0!</v>
      </c>
      <c r="AW463" s="235" t="e">
        <f t="shared" si="355"/>
        <v>#DIV/0!</v>
      </c>
      <c r="AX463" s="281">
        <f>IF(B463&gt;mpfo,0,IF(B463=mpfo,(vld-teo*(1+tcfo-incc)^(MAX(mmo,mmv)-mbfo))*-1,IF(SUM($N$13:N462)&gt;=pmo,IF(($V462/ntudv)&gt;=pmv,IF(B463=MAX(mmo,mmv),-teo*(1+tcfo-incc)^(B463-mbfo),0),0),0)))</f>
        <v>0</v>
      </c>
      <c r="AY463" s="292" t="e">
        <f t="shared" si="366"/>
        <v>#DIV/0!</v>
      </c>
      <c r="AZ463" s="235" t="e">
        <f t="shared" si="356"/>
        <v>#DIV/0!</v>
      </c>
      <c r="BA463" s="269" t="e">
        <f t="shared" si="357"/>
        <v>#DIV/0!</v>
      </c>
      <c r="BB463" s="292" t="e">
        <f t="shared" si="358"/>
        <v>#DIV/0!</v>
      </c>
      <c r="BC463" s="238" t="e">
        <f>IF(SUM($BC$13:BC462)&gt;0,0,IF(BB463&gt;0,B463,0))</f>
        <v>#DIV/0!</v>
      </c>
      <c r="BD463" s="292" t="e">
        <f>IF(BB463+SUM($BD$12:BD462)&gt;=0,0,-BB463-SUM($BD$12:BD462))</f>
        <v>#DIV/0!</v>
      </c>
      <c r="BE463" s="235" t="e">
        <f>BB463+SUM($BD$12:BD463)</f>
        <v>#DIV/0!</v>
      </c>
      <c r="BF463" s="292" t="e">
        <f>-MIN(BE463:$BE$501)-SUM(BF$12:$BF462)</f>
        <v>#DIV/0!</v>
      </c>
      <c r="BG463" s="235" t="e">
        <f t="shared" ref="BG463:BG501" si="369">BF463</f>
        <v>#DIV/0!</v>
      </c>
    </row>
    <row r="464" spans="2:59">
      <c r="B464" s="246">
        <v>451</v>
      </c>
      <c r="C464" s="241">
        <f t="shared" si="368"/>
        <v>56405</v>
      </c>
      <c r="D464" s="229">
        <f t="shared" si="324"/>
        <v>6</v>
      </c>
      <c r="E464" s="230" t="str">
        <f t="shared" si="325"/>
        <v>-</v>
      </c>
      <c r="F464" s="231">
        <f t="shared" si="326"/>
        <v>0</v>
      </c>
      <c r="G464" s="231">
        <f t="shared" si="327"/>
        <v>0</v>
      </c>
      <c r="H464" s="231">
        <f t="shared" si="328"/>
        <v>0</v>
      </c>
      <c r="I464" s="268">
        <f t="shared" si="359"/>
        <v>0</v>
      </c>
      <c r="J464" s="269">
        <f t="shared" si="329"/>
        <v>0</v>
      </c>
      <c r="K464" s="269">
        <f t="shared" si="330"/>
        <v>0</v>
      </c>
      <c r="L464" s="269">
        <f t="shared" si="360"/>
        <v>0</v>
      </c>
      <c r="M464" s="269">
        <f t="shared" si="361"/>
        <v>0</v>
      </c>
      <c r="N464" s="233">
        <f>VLOOKUP(B464,Dados!$L$86:$P$90,5)</f>
        <v>0</v>
      </c>
      <c r="O464" s="270">
        <f t="shared" si="331"/>
        <v>0.99999999999999989</v>
      </c>
      <c r="P464" s="269">
        <f t="shared" si="332"/>
        <v>0</v>
      </c>
      <c r="Q464" s="269" t="e">
        <f t="shared" si="333"/>
        <v>#DIV/0!</v>
      </c>
      <c r="R464" s="269">
        <f t="shared" si="334"/>
        <v>0</v>
      </c>
      <c r="S464" s="269" t="e">
        <f t="shared" si="335"/>
        <v>#DIV/0!</v>
      </c>
      <c r="T464" s="269" t="e">
        <f t="shared" si="367"/>
        <v>#DIV/0!</v>
      </c>
      <c r="U464" s="234">
        <f t="shared" si="336"/>
        <v>0</v>
      </c>
      <c r="V464" s="232" t="e">
        <f t="shared" si="337"/>
        <v>#DIV/0!</v>
      </c>
      <c r="W464" s="269" t="e">
        <f t="shared" si="338"/>
        <v>#DIV/0!</v>
      </c>
      <c r="X464" s="235">
        <f t="shared" si="362"/>
        <v>0</v>
      </c>
      <c r="Y464" s="236">
        <f t="shared" si="339"/>
        <v>5</v>
      </c>
      <c r="Z464" s="236" t="e">
        <f t="shared" si="340"/>
        <v>#DIV/0!</v>
      </c>
      <c r="AA464" s="236">
        <f t="shared" si="341"/>
        <v>3</v>
      </c>
      <c r="AB464" s="236" t="e">
        <f t="shared" si="342"/>
        <v>#DIV/0!</v>
      </c>
      <c r="AC464" s="235">
        <f t="shared" si="343"/>
        <v>0</v>
      </c>
      <c r="AD464" s="235">
        <f t="shared" si="344"/>
        <v>0</v>
      </c>
      <c r="AE464" s="279">
        <f t="shared" si="345"/>
        <v>0</v>
      </c>
      <c r="AF464" s="232">
        <f t="shared" si="346"/>
        <v>1</v>
      </c>
      <c r="AG464" s="235">
        <f t="shared" si="347"/>
        <v>0</v>
      </c>
      <c r="AH464" s="269">
        <f t="shared" si="348"/>
        <v>0</v>
      </c>
      <c r="AI464" s="232">
        <f t="shared" si="349"/>
        <v>0</v>
      </c>
      <c r="AJ464" s="235">
        <f t="shared" si="350"/>
        <v>0</v>
      </c>
      <c r="AK464" s="269">
        <f t="shared" si="351"/>
        <v>0</v>
      </c>
      <c r="AL464" s="269">
        <f t="shared" si="363"/>
        <v>0</v>
      </c>
      <c r="AM464" s="281" t="e">
        <f>IF(B464&gt;=mpfo,pos*vvm*Dados!$E$122*(ntudv-SUM(U$301:$U465))-SUM($AM$13:AM463),0)</f>
        <v>#DIV/0!</v>
      </c>
      <c r="AN464" s="269" t="e">
        <f t="shared" si="352"/>
        <v>#DIV/0!</v>
      </c>
      <c r="AO464" s="232" t="e">
        <f t="shared" si="353"/>
        <v>#DIV/0!</v>
      </c>
      <c r="AP464" s="242" t="e">
        <f t="shared" si="354"/>
        <v>#DIV/0!</v>
      </c>
      <c r="AQ464" s="235" t="e">
        <f>IF(AP464+SUM($AQ$12:AQ463)&gt;=0,0,-AP464-SUM($AQ$12:AQ463))</f>
        <v>#DIV/0!</v>
      </c>
      <c r="AR464" s="235">
        <f>IF(SUM($N$13:N463)&gt;=pmo,IF(SUM(N463:$N$501)&gt;(1-pmo),B464,0),0)</f>
        <v>0</v>
      </c>
      <c r="AS464" s="235" t="e">
        <f>IF((SUM($U$13:$U463)/ntudv)&gt;=pmv,IF((SUM($U463:$U$501)/ntudv)&gt;(1-pmv),B464,0),0)</f>
        <v>#DIV/0!</v>
      </c>
      <c r="AT464" s="237" t="e">
        <f>IF(MAX(mmo,mmv)=mmo,IF(B464=AR464,(SUM(N$13:$N463)-pmo)/((1-VLOOKUP(MAX(mmo,mmv)-1,$B$13:$O$501,14))+(VLOOKUP(MAX(mmo,mmv)-1,$B$13:$O$501,14)-pmo)),N463/((1-VLOOKUP(MAX(mmo,mmv)-1,$B$13:$O$501,14)+(VLOOKUP(MAX(mmo,mmv)-1,$B$13:$O$501,14)-pmo)))),N463/(1-VLOOKUP(MAX(mmo,mmv)-2,$B$13:$O$501,14)))</f>
        <v>#DIV/0!</v>
      </c>
      <c r="AU464" s="101" t="e">
        <f t="shared" si="364"/>
        <v>#DIV/0!</v>
      </c>
      <c r="AV464" s="287" t="e">
        <f t="shared" si="365"/>
        <v>#DIV/0!</v>
      </c>
      <c r="AW464" s="235" t="e">
        <f t="shared" si="355"/>
        <v>#DIV/0!</v>
      </c>
      <c r="AX464" s="281">
        <f>IF(B464&gt;mpfo,0,IF(B464=mpfo,(vld-teo*(1+tcfo-incc)^(MAX(mmo,mmv)-mbfo))*-1,IF(SUM($N$13:N463)&gt;=pmo,IF(($V463/ntudv)&gt;=pmv,IF(B464=MAX(mmo,mmv),-teo*(1+tcfo-incc)^(B464-mbfo),0),0),0)))</f>
        <v>0</v>
      </c>
      <c r="AY464" s="292" t="e">
        <f t="shared" si="366"/>
        <v>#DIV/0!</v>
      </c>
      <c r="AZ464" s="235" t="e">
        <f t="shared" si="356"/>
        <v>#DIV/0!</v>
      </c>
      <c r="BA464" s="269" t="e">
        <f t="shared" si="357"/>
        <v>#DIV/0!</v>
      </c>
      <c r="BB464" s="292" t="e">
        <f t="shared" si="358"/>
        <v>#DIV/0!</v>
      </c>
      <c r="BC464" s="238" t="e">
        <f>IF(SUM($BC$13:BC463)&gt;0,0,IF(BB464&gt;0,B464,0))</f>
        <v>#DIV/0!</v>
      </c>
      <c r="BD464" s="292" t="e">
        <f>IF(BB464+SUM($BD$12:BD463)&gt;=0,0,-BB464-SUM($BD$12:BD463))</f>
        <v>#DIV/0!</v>
      </c>
      <c r="BE464" s="235" t="e">
        <f>BB464+SUM($BD$12:BD464)</f>
        <v>#DIV/0!</v>
      </c>
      <c r="BF464" s="292" t="e">
        <f>-MIN(BE464:$BE$501)-SUM(BF$12:$BF463)</f>
        <v>#DIV/0!</v>
      </c>
      <c r="BG464" s="235" t="e">
        <f t="shared" si="369"/>
        <v>#DIV/0!</v>
      </c>
    </row>
    <row r="465" spans="2:59">
      <c r="B465" s="120">
        <v>452</v>
      </c>
      <c r="C465" s="241">
        <f t="shared" si="368"/>
        <v>56435</v>
      </c>
      <c r="D465" s="229">
        <f t="shared" si="324"/>
        <v>7</v>
      </c>
      <c r="E465" s="230" t="str">
        <f t="shared" si="325"/>
        <v>-</v>
      </c>
      <c r="F465" s="231">
        <f t="shared" si="326"/>
        <v>0</v>
      </c>
      <c r="G465" s="231">
        <f t="shared" si="327"/>
        <v>0</v>
      </c>
      <c r="H465" s="231">
        <f t="shared" si="328"/>
        <v>0</v>
      </c>
      <c r="I465" s="268">
        <f t="shared" si="359"/>
        <v>0</v>
      </c>
      <c r="J465" s="269">
        <f t="shared" si="329"/>
        <v>0</v>
      </c>
      <c r="K465" s="269">
        <f t="shared" si="330"/>
        <v>0</v>
      </c>
      <c r="L465" s="269">
        <f t="shared" si="360"/>
        <v>0</v>
      </c>
      <c r="M465" s="269">
        <f t="shared" si="361"/>
        <v>0</v>
      </c>
      <c r="N465" s="233">
        <f>VLOOKUP(B465,Dados!$L$86:$P$90,5)</f>
        <v>0</v>
      </c>
      <c r="O465" s="270">
        <f t="shared" si="331"/>
        <v>0.99999999999999989</v>
      </c>
      <c r="P465" s="269">
        <f t="shared" si="332"/>
        <v>0</v>
      </c>
      <c r="Q465" s="269" t="e">
        <f t="shared" si="333"/>
        <v>#DIV/0!</v>
      </c>
      <c r="R465" s="269">
        <f t="shared" si="334"/>
        <v>0</v>
      </c>
      <c r="S465" s="269" t="e">
        <f t="shared" si="335"/>
        <v>#DIV/0!</v>
      </c>
      <c r="T465" s="269" t="e">
        <f t="shared" si="367"/>
        <v>#DIV/0!</v>
      </c>
      <c r="U465" s="234">
        <f t="shared" si="336"/>
        <v>0</v>
      </c>
      <c r="V465" s="232" t="e">
        <f t="shared" si="337"/>
        <v>#DIV/0!</v>
      </c>
      <c r="W465" s="269" t="e">
        <f t="shared" si="338"/>
        <v>#DIV/0!</v>
      </c>
      <c r="X465" s="235">
        <f t="shared" si="362"/>
        <v>0</v>
      </c>
      <c r="Y465" s="236">
        <f t="shared" si="339"/>
        <v>5</v>
      </c>
      <c r="Z465" s="236" t="e">
        <f t="shared" si="340"/>
        <v>#DIV/0!</v>
      </c>
      <c r="AA465" s="236">
        <f t="shared" si="341"/>
        <v>3</v>
      </c>
      <c r="AB465" s="236" t="e">
        <f t="shared" si="342"/>
        <v>#DIV/0!</v>
      </c>
      <c r="AC465" s="235">
        <f t="shared" si="343"/>
        <v>0</v>
      </c>
      <c r="AD465" s="235">
        <f t="shared" si="344"/>
        <v>0</v>
      </c>
      <c r="AE465" s="279">
        <f t="shared" si="345"/>
        <v>0</v>
      </c>
      <c r="AF465" s="232">
        <f t="shared" si="346"/>
        <v>0</v>
      </c>
      <c r="AG465" s="235">
        <f t="shared" si="347"/>
        <v>0</v>
      </c>
      <c r="AH465" s="269">
        <f t="shared" si="348"/>
        <v>0</v>
      </c>
      <c r="AI465" s="232">
        <f t="shared" si="349"/>
        <v>0</v>
      </c>
      <c r="AJ465" s="235">
        <f t="shared" si="350"/>
        <v>0</v>
      </c>
      <c r="AK465" s="269">
        <f t="shared" si="351"/>
        <v>0</v>
      </c>
      <c r="AL465" s="269">
        <f t="shared" si="363"/>
        <v>0</v>
      </c>
      <c r="AM465" s="281" t="e">
        <f>IF(B465&gt;=mpfo,pos*vvm*Dados!$E$122*(ntudv-SUM(U$301:$U466))-SUM($AM$13:AM464),0)</f>
        <v>#DIV/0!</v>
      </c>
      <c r="AN465" s="269" t="e">
        <f t="shared" si="352"/>
        <v>#DIV/0!</v>
      </c>
      <c r="AO465" s="232" t="e">
        <f t="shared" si="353"/>
        <v>#DIV/0!</v>
      </c>
      <c r="AP465" s="242" t="e">
        <f t="shared" si="354"/>
        <v>#DIV/0!</v>
      </c>
      <c r="AQ465" s="235" t="e">
        <f>IF(AP465+SUM($AQ$12:AQ464)&gt;=0,0,-AP465-SUM($AQ$12:AQ464))</f>
        <v>#DIV/0!</v>
      </c>
      <c r="AR465" s="235">
        <f>IF(SUM($N$13:N464)&gt;=pmo,IF(SUM(N464:$N$501)&gt;(1-pmo),B465,0),0)</f>
        <v>0</v>
      </c>
      <c r="AS465" s="235" t="e">
        <f>IF((SUM($U$13:$U464)/ntudv)&gt;=pmv,IF((SUM($U464:$U$501)/ntudv)&gt;(1-pmv),B465,0),0)</f>
        <v>#DIV/0!</v>
      </c>
      <c r="AT465" s="237" t="e">
        <f>IF(MAX(mmo,mmv)=mmo,IF(B465=AR465,(SUM(N$13:$N464)-pmo)/((1-VLOOKUP(MAX(mmo,mmv)-1,$B$13:$O$501,14))+(VLOOKUP(MAX(mmo,mmv)-1,$B$13:$O$501,14)-pmo)),N464/((1-VLOOKUP(MAX(mmo,mmv)-1,$B$13:$O$501,14)+(VLOOKUP(MAX(mmo,mmv)-1,$B$13:$O$501,14)-pmo)))),N464/(1-VLOOKUP(MAX(mmo,mmv)-2,$B$13:$O$501,14)))</f>
        <v>#DIV/0!</v>
      </c>
      <c r="AU465" s="101" t="e">
        <f t="shared" si="364"/>
        <v>#DIV/0!</v>
      </c>
      <c r="AV465" s="287" t="e">
        <f t="shared" si="365"/>
        <v>#DIV/0!</v>
      </c>
      <c r="AW465" s="235" t="e">
        <f t="shared" si="355"/>
        <v>#DIV/0!</v>
      </c>
      <c r="AX465" s="281">
        <f>IF(B465&gt;mpfo,0,IF(B465=mpfo,(vld-teo*(1+tcfo-incc)^(MAX(mmo,mmv)-mbfo))*-1,IF(SUM($N$13:N464)&gt;=pmo,IF(($V464/ntudv)&gt;=pmv,IF(B465=MAX(mmo,mmv),-teo*(1+tcfo-incc)^(B465-mbfo),0),0),0)))</f>
        <v>0</v>
      </c>
      <c r="AY465" s="292" t="e">
        <f t="shared" si="366"/>
        <v>#DIV/0!</v>
      </c>
      <c r="AZ465" s="235" t="e">
        <f t="shared" si="356"/>
        <v>#DIV/0!</v>
      </c>
      <c r="BA465" s="269" t="e">
        <f t="shared" si="357"/>
        <v>#DIV/0!</v>
      </c>
      <c r="BB465" s="292" t="e">
        <f t="shared" si="358"/>
        <v>#DIV/0!</v>
      </c>
      <c r="BC465" s="238" t="e">
        <f>IF(SUM($BC$13:BC464)&gt;0,0,IF(BB465&gt;0,B465,0))</f>
        <v>#DIV/0!</v>
      </c>
      <c r="BD465" s="292" t="e">
        <f>IF(BB465+SUM($BD$12:BD464)&gt;=0,0,-BB465-SUM($BD$12:BD464))</f>
        <v>#DIV/0!</v>
      </c>
      <c r="BE465" s="235" t="e">
        <f>BB465+SUM($BD$12:BD465)</f>
        <v>#DIV/0!</v>
      </c>
      <c r="BF465" s="292" t="e">
        <f>-MIN(BE465:$BE$501)-SUM(BF$12:$BF464)</f>
        <v>#DIV/0!</v>
      </c>
      <c r="BG465" s="235" t="e">
        <f t="shared" si="369"/>
        <v>#DIV/0!</v>
      </c>
    </row>
    <row r="466" spans="2:59">
      <c r="B466" s="246">
        <v>453</v>
      </c>
      <c r="C466" s="241">
        <f t="shared" si="368"/>
        <v>56466</v>
      </c>
      <c r="D466" s="229">
        <f t="shared" si="324"/>
        <v>8</v>
      </c>
      <c r="E466" s="230" t="str">
        <f t="shared" si="325"/>
        <v>-</v>
      </c>
      <c r="F466" s="231">
        <f t="shared" si="326"/>
        <v>0</v>
      </c>
      <c r="G466" s="231">
        <f t="shared" si="327"/>
        <v>0</v>
      </c>
      <c r="H466" s="231">
        <f t="shared" si="328"/>
        <v>0</v>
      </c>
      <c r="I466" s="268">
        <f t="shared" si="359"/>
        <v>0</v>
      </c>
      <c r="J466" s="269">
        <f t="shared" si="329"/>
        <v>0</v>
      </c>
      <c r="K466" s="269">
        <f t="shared" si="330"/>
        <v>0</v>
      </c>
      <c r="L466" s="269">
        <f t="shared" si="360"/>
        <v>0</v>
      </c>
      <c r="M466" s="269">
        <f t="shared" si="361"/>
        <v>0</v>
      </c>
      <c r="N466" s="233">
        <f>VLOOKUP(B466,Dados!$L$86:$P$90,5)</f>
        <v>0</v>
      </c>
      <c r="O466" s="270">
        <f t="shared" si="331"/>
        <v>0.99999999999999989</v>
      </c>
      <c r="P466" s="269">
        <f t="shared" si="332"/>
        <v>0</v>
      </c>
      <c r="Q466" s="269" t="e">
        <f t="shared" si="333"/>
        <v>#DIV/0!</v>
      </c>
      <c r="R466" s="269">
        <f t="shared" si="334"/>
        <v>0</v>
      </c>
      <c r="S466" s="269" t="e">
        <f t="shared" si="335"/>
        <v>#DIV/0!</v>
      </c>
      <c r="T466" s="269" t="e">
        <f t="shared" si="367"/>
        <v>#DIV/0!</v>
      </c>
      <c r="U466" s="234">
        <f t="shared" si="336"/>
        <v>0</v>
      </c>
      <c r="V466" s="232" t="e">
        <f t="shared" si="337"/>
        <v>#DIV/0!</v>
      </c>
      <c r="W466" s="269" t="e">
        <f t="shared" si="338"/>
        <v>#DIV/0!</v>
      </c>
      <c r="X466" s="235">
        <f t="shared" si="362"/>
        <v>0</v>
      </c>
      <c r="Y466" s="236">
        <f t="shared" si="339"/>
        <v>5</v>
      </c>
      <c r="Z466" s="236" t="e">
        <f t="shared" si="340"/>
        <v>#DIV/0!</v>
      </c>
      <c r="AA466" s="236">
        <f t="shared" si="341"/>
        <v>3</v>
      </c>
      <c r="AB466" s="236" t="e">
        <f t="shared" si="342"/>
        <v>#DIV/0!</v>
      </c>
      <c r="AC466" s="235">
        <f t="shared" si="343"/>
        <v>0</v>
      </c>
      <c r="AD466" s="235">
        <f t="shared" si="344"/>
        <v>0</v>
      </c>
      <c r="AE466" s="279">
        <f t="shared" si="345"/>
        <v>0</v>
      </c>
      <c r="AF466" s="232">
        <f t="shared" si="346"/>
        <v>0</v>
      </c>
      <c r="AG466" s="235">
        <f t="shared" si="347"/>
        <v>0</v>
      </c>
      <c r="AH466" s="269">
        <f t="shared" si="348"/>
        <v>0</v>
      </c>
      <c r="AI466" s="232">
        <f t="shared" si="349"/>
        <v>0</v>
      </c>
      <c r="AJ466" s="235">
        <f t="shared" si="350"/>
        <v>0</v>
      </c>
      <c r="AK466" s="269">
        <f t="shared" si="351"/>
        <v>0</v>
      </c>
      <c r="AL466" s="269">
        <f t="shared" si="363"/>
        <v>0</v>
      </c>
      <c r="AM466" s="281" t="e">
        <f>IF(B466&gt;=mpfo,pos*vvm*Dados!$E$122*(ntudv-SUM(U$301:$U467))-SUM($AM$13:AM465),0)</f>
        <v>#DIV/0!</v>
      </c>
      <c r="AN466" s="269" t="e">
        <f t="shared" si="352"/>
        <v>#DIV/0!</v>
      </c>
      <c r="AO466" s="232" t="e">
        <f t="shared" si="353"/>
        <v>#DIV/0!</v>
      </c>
      <c r="AP466" s="242" t="e">
        <f t="shared" si="354"/>
        <v>#DIV/0!</v>
      </c>
      <c r="AQ466" s="235" t="e">
        <f>IF(AP466+SUM($AQ$12:AQ465)&gt;=0,0,-AP466-SUM($AQ$12:AQ465))</f>
        <v>#DIV/0!</v>
      </c>
      <c r="AR466" s="235">
        <f>IF(SUM($N$13:N465)&gt;=pmo,IF(SUM(N465:$N$501)&gt;(1-pmo),B466,0),0)</f>
        <v>0</v>
      </c>
      <c r="AS466" s="235" t="e">
        <f>IF((SUM($U$13:$U465)/ntudv)&gt;=pmv,IF((SUM($U465:$U$501)/ntudv)&gt;(1-pmv),B466,0),0)</f>
        <v>#DIV/0!</v>
      </c>
      <c r="AT466" s="237" t="e">
        <f>IF(MAX(mmo,mmv)=mmo,IF(B466=AR466,(SUM(N$13:$N465)-pmo)/((1-VLOOKUP(MAX(mmo,mmv)-1,$B$13:$O$501,14))+(VLOOKUP(MAX(mmo,mmv)-1,$B$13:$O$501,14)-pmo)),N465/((1-VLOOKUP(MAX(mmo,mmv)-1,$B$13:$O$501,14)+(VLOOKUP(MAX(mmo,mmv)-1,$B$13:$O$501,14)-pmo)))),N465/(1-VLOOKUP(MAX(mmo,mmv)-2,$B$13:$O$501,14)))</f>
        <v>#DIV/0!</v>
      </c>
      <c r="AU466" s="101" t="e">
        <f t="shared" si="364"/>
        <v>#DIV/0!</v>
      </c>
      <c r="AV466" s="287" t="e">
        <f t="shared" si="365"/>
        <v>#DIV/0!</v>
      </c>
      <c r="AW466" s="235" t="e">
        <f t="shared" si="355"/>
        <v>#DIV/0!</v>
      </c>
      <c r="AX466" s="281">
        <f>IF(B466&gt;mpfo,0,IF(B466=mpfo,(vld-teo*(1+tcfo-incc)^(MAX(mmo,mmv)-mbfo))*-1,IF(SUM($N$13:N465)&gt;=pmo,IF(($V465/ntudv)&gt;=pmv,IF(B466=MAX(mmo,mmv),-teo*(1+tcfo-incc)^(B466-mbfo),0),0),0)))</f>
        <v>0</v>
      </c>
      <c r="AY466" s="292" t="e">
        <f t="shared" si="366"/>
        <v>#DIV/0!</v>
      </c>
      <c r="AZ466" s="235" t="e">
        <f t="shared" si="356"/>
        <v>#DIV/0!</v>
      </c>
      <c r="BA466" s="269" t="e">
        <f t="shared" si="357"/>
        <v>#DIV/0!</v>
      </c>
      <c r="BB466" s="292" t="e">
        <f t="shared" si="358"/>
        <v>#DIV/0!</v>
      </c>
      <c r="BC466" s="238" t="e">
        <f>IF(SUM($BC$13:BC465)&gt;0,0,IF(BB466&gt;0,B466,0))</f>
        <v>#DIV/0!</v>
      </c>
      <c r="BD466" s="292" t="e">
        <f>IF(BB466+SUM($BD$12:BD465)&gt;=0,0,-BB466-SUM($BD$12:BD465))</f>
        <v>#DIV/0!</v>
      </c>
      <c r="BE466" s="235" t="e">
        <f>BB466+SUM($BD$12:BD466)</f>
        <v>#DIV/0!</v>
      </c>
      <c r="BF466" s="292" t="e">
        <f>-MIN(BE466:$BE$501)-SUM(BF$12:$BF465)</f>
        <v>#DIV/0!</v>
      </c>
      <c r="BG466" s="235" t="e">
        <f t="shared" si="369"/>
        <v>#DIV/0!</v>
      </c>
    </row>
    <row r="467" spans="2:59">
      <c r="B467" s="120">
        <v>454</v>
      </c>
      <c r="C467" s="241">
        <f t="shared" si="368"/>
        <v>56497</v>
      </c>
      <c r="D467" s="229">
        <f t="shared" si="324"/>
        <v>9</v>
      </c>
      <c r="E467" s="230" t="str">
        <f t="shared" si="325"/>
        <v>-</v>
      </c>
      <c r="F467" s="231">
        <f t="shared" si="326"/>
        <v>0</v>
      </c>
      <c r="G467" s="231">
        <f t="shared" si="327"/>
        <v>0</v>
      </c>
      <c r="H467" s="231">
        <f t="shared" si="328"/>
        <v>0</v>
      </c>
      <c r="I467" s="268">
        <f t="shared" si="359"/>
        <v>0</v>
      </c>
      <c r="J467" s="269">
        <f t="shared" si="329"/>
        <v>0</v>
      </c>
      <c r="K467" s="269">
        <f t="shared" si="330"/>
        <v>0</v>
      </c>
      <c r="L467" s="269">
        <f t="shared" si="360"/>
        <v>0</v>
      </c>
      <c r="M467" s="269">
        <f t="shared" si="361"/>
        <v>0</v>
      </c>
      <c r="N467" s="233">
        <f>VLOOKUP(B467,Dados!$L$86:$P$90,5)</f>
        <v>0</v>
      </c>
      <c r="O467" s="270">
        <f t="shared" si="331"/>
        <v>0.99999999999999989</v>
      </c>
      <c r="P467" s="269">
        <f t="shared" si="332"/>
        <v>0</v>
      </c>
      <c r="Q467" s="269" t="e">
        <f t="shared" si="333"/>
        <v>#DIV/0!</v>
      </c>
      <c r="R467" s="269">
        <f t="shared" si="334"/>
        <v>0</v>
      </c>
      <c r="S467" s="269" t="e">
        <f t="shared" si="335"/>
        <v>#DIV/0!</v>
      </c>
      <c r="T467" s="269" t="e">
        <f t="shared" si="367"/>
        <v>#DIV/0!</v>
      </c>
      <c r="U467" s="234">
        <f t="shared" si="336"/>
        <v>0</v>
      </c>
      <c r="V467" s="232" t="e">
        <f t="shared" si="337"/>
        <v>#DIV/0!</v>
      </c>
      <c r="W467" s="269" t="e">
        <f t="shared" si="338"/>
        <v>#DIV/0!</v>
      </c>
      <c r="X467" s="235">
        <f t="shared" si="362"/>
        <v>0</v>
      </c>
      <c r="Y467" s="236">
        <f t="shared" si="339"/>
        <v>5</v>
      </c>
      <c r="Z467" s="236" t="e">
        <f t="shared" si="340"/>
        <v>#DIV/0!</v>
      </c>
      <c r="AA467" s="236">
        <f t="shared" si="341"/>
        <v>3</v>
      </c>
      <c r="AB467" s="236" t="e">
        <f t="shared" si="342"/>
        <v>#DIV/0!</v>
      </c>
      <c r="AC467" s="235">
        <f t="shared" si="343"/>
        <v>0</v>
      </c>
      <c r="AD467" s="235">
        <f t="shared" si="344"/>
        <v>0</v>
      </c>
      <c r="AE467" s="279">
        <f t="shared" si="345"/>
        <v>0</v>
      </c>
      <c r="AF467" s="232">
        <f t="shared" si="346"/>
        <v>0</v>
      </c>
      <c r="AG467" s="235">
        <f t="shared" si="347"/>
        <v>0</v>
      </c>
      <c r="AH467" s="269">
        <f t="shared" si="348"/>
        <v>0</v>
      </c>
      <c r="AI467" s="232">
        <f t="shared" si="349"/>
        <v>0</v>
      </c>
      <c r="AJ467" s="235">
        <f t="shared" si="350"/>
        <v>0</v>
      </c>
      <c r="AK467" s="269">
        <f t="shared" si="351"/>
        <v>0</v>
      </c>
      <c r="AL467" s="269">
        <f t="shared" si="363"/>
        <v>0</v>
      </c>
      <c r="AM467" s="281" t="e">
        <f>IF(B467&gt;=mpfo,pos*vvm*Dados!$E$122*(ntudv-SUM(U$301:$U468))-SUM($AM$13:AM466),0)</f>
        <v>#DIV/0!</v>
      </c>
      <c r="AN467" s="269" t="e">
        <f t="shared" si="352"/>
        <v>#DIV/0!</v>
      </c>
      <c r="AO467" s="232" t="e">
        <f t="shared" si="353"/>
        <v>#DIV/0!</v>
      </c>
      <c r="AP467" s="242" t="e">
        <f t="shared" si="354"/>
        <v>#DIV/0!</v>
      </c>
      <c r="AQ467" s="235" t="e">
        <f>IF(AP467+SUM($AQ$12:AQ466)&gt;=0,0,-AP467-SUM($AQ$12:AQ466))</f>
        <v>#DIV/0!</v>
      </c>
      <c r="AR467" s="235">
        <f>IF(SUM($N$13:N466)&gt;=pmo,IF(SUM(N466:$N$501)&gt;(1-pmo),B467,0),0)</f>
        <v>0</v>
      </c>
      <c r="AS467" s="235" t="e">
        <f>IF((SUM($U$13:$U466)/ntudv)&gt;=pmv,IF((SUM($U466:$U$501)/ntudv)&gt;(1-pmv),B467,0),0)</f>
        <v>#DIV/0!</v>
      </c>
      <c r="AT467" s="237" t="e">
        <f>IF(MAX(mmo,mmv)=mmo,IF(B467=AR467,(SUM(N$13:$N466)-pmo)/((1-VLOOKUP(MAX(mmo,mmv)-1,$B$13:$O$501,14))+(VLOOKUP(MAX(mmo,mmv)-1,$B$13:$O$501,14)-pmo)),N466/((1-VLOOKUP(MAX(mmo,mmv)-1,$B$13:$O$501,14)+(VLOOKUP(MAX(mmo,mmv)-1,$B$13:$O$501,14)-pmo)))),N466/(1-VLOOKUP(MAX(mmo,mmv)-2,$B$13:$O$501,14)))</f>
        <v>#DIV/0!</v>
      </c>
      <c r="AU467" s="101" t="e">
        <f t="shared" si="364"/>
        <v>#DIV/0!</v>
      </c>
      <c r="AV467" s="287" t="e">
        <f t="shared" si="365"/>
        <v>#DIV/0!</v>
      </c>
      <c r="AW467" s="235" t="e">
        <f t="shared" si="355"/>
        <v>#DIV/0!</v>
      </c>
      <c r="AX467" s="281">
        <f>IF(B467&gt;mpfo,0,IF(B467=mpfo,(vld-teo*(1+tcfo-incc)^(MAX(mmo,mmv)-mbfo))*-1,IF(SUM($N$13:N466)&gt;=pmo,IF(($V466/ntudv)&gt;=pmv,IF(B467=MAX(mmo,mmv),-teo*(1+tcfo-incc)^(B467-mbfo),0),0),0)))</f>
        <v>0</v>
      </c>
      <c r="AY467" s="292" t="e">
        <f t="shared" si="366"/>
        <v>#DIV/0!</v>
      </c>
      <c r="AZ467" s="235" t="e">
        <f t="shared" si="356"/>
        <v>#DIV/0!</v>
      </c>
      <c r="BA467" s="269" t="e">
        <f t="shared" si="357"/>
        <v>#DIV/0!</v>
      </c>
      <c r="BB467" s="292" t="e">
        <f t="shared" si="358"/>
        <v>#DIV/0!</v>
      </c>
      <c r="BC467" s="238" t="e">
        <f>IF(SUM($BC$13:BC466)&gt;0,0,IF(BB467&gt;0,B467,0))</f>
        <v>#DIV/0!</v>
      </c>
      <c r="BD467" s="292" t="e">
        <f>IF(BB467+SUM($BD$12:BD466)&gt;=0,0,-BB467-SUM($BD$12:BD466))</f>
        <v>#DIV/0!</v>
      </c>
      <c r="BE467" s="235" t="e">
        <f>BB467+SUM($BD$12:BD467)</f>
        <v>#DIV/0!</v>
      </c>
      <c r="BF467" s="292" t="e">
        <f>-MIN(BE467:$BE$501)-SUM(BF$12:$BF466)</f>
        <v>#DIV/0!</v>
      </c>
      <c r="BG467" s="235" t="e">
        <f t="shared" si="369"/>
        <v>#DIV/0!</v>
      </c>
    </row>
    <row r="468" spans="2:59">
      <c r="B468" s="246">
        <v>455</v>
      </c>
      <c r="C468" s="241">
        <f t="shared" si="368"/>
        <v>56527</v>
      </c>
      <c r="D468" s="229">
        <f t="shared" si="324"/>
        <v>10</v>
      </c>
      <c r="E468" s="230" t="str">
        <f t="shared" si="325"/>
        <v>-</v>
      </c>
      <c r="F468" s="231">
        <f t="shared" si="326"/>
        <v>0</v>
      </c>
      <c r="G468" s="231">
        <f t="shared" si="327"/>
        <v>0</v>
      </c>
      <c r="H468" s="231">
        <f t="shared" si="328"/>
        <v>0</v>
      </c>
      <c r="I468" s="268">
        <f t="shared" si="359"/>
        <v>0</v>
      </c>
      <c r="J468" s="269">
        <f t="shared" si="329"/>
        <v>0</v>
      </c>
      <c r="K468" s="269">
        <f t="shared" si="330"/>
        <v>0</v>
      </c>
      <c r="L468" s="269">
        <f t="shared" si="360"/>
        <v>0</v>
      </c>
      <c r="M468" s="269">
        <f t="shared" si="361"/>
        <v>0</v>
      </c>
      <c r="N468" s="233">
        <f>VLOOKUP(B468,Dados!$L$86:$P$90,5)</f>
        <v>0</v>
      </c>
      <c r="O468" s="270">
        <f t="shared" si="331"/>
        <v>0.99999999999999989</v>
      </c>
      <c r="P468" s="269">
        <f t="shared" si="332"/>
        <v>0</v>
      </c>
      <c r="Q468" s="269" t="e">
        <f t="shared" si="333"/>
        <v>#DIV/0!</v>
      </c>
      <c r="R468" s="269">
        <f t="shared" si="334"/>
        <v>0</v>
      </c>
      <c r="S468" s="269" t="e">
        <f t="shared" si="335"/>
        <v>#DIV/0!</v>
      </c>
      <c r="T468" s="269" t="e">
        <f t="shared" si="367"/>
        <v>#DIV/0!</v>
      </c>
      <c r="U468" s="234">
        <f t="shared" si="336"/>
        <v>0</v>
      </c>
      <c r="V468" s="232" t="e">
        <f t="shared" si="337"/>
        <v>#DIV/0!</v>
      </c>
      <c r="W468" s="269" t="e">
        <f t="shared" si="338"/>
        <v>#DIV/0!</v>
      </c>
      <c r="X468" s="235">
        <f t="shared" si="362"/>
        <v>0</v>
      </c>
      <c r="Y468" s="236">
        <f t="shared" si="339"/>
        <v>5</v>
      </c>
      <c r="Z468" s="236" t="e">
        <f t="shared" si="340"/>
        <v>#DIV/0!</v>
      </c>
      <c r="AA468" s="236">
        <f t="shared" si="341"/>
        <v>3</v>
      </c>
      <c r="AB468" s="236" t="e">
        <f t="shared" si="342"/>
        <v>#DIV/0!</v>
      </c>
      <c r="AC468" s="235">
        <f t="shared" si="343"/>
        <v>0</v>
      </c>
      <c r="AD468" s="235">
        <f t="shared" si="344"/>
        <v>0</v>
      </c>
      <c r="AE468" s="279">
        <f t="shared" si="345"/>
        <v>0</v>
      </c>
      <c r="AF468" s="232">
        <f t="shared" si="346"/>
        <v>0</v>
      </c>
      <c r="AG468" s="235">
        <f t="shared" si="347"/>
        <v>0</v>
      </c>
      <c r="AH468" s="269">
        <f t="shared" si="348"/>
        <v>0</v>
      </c>
      <c r="AI468" s="232">
        <f t="shared" si="349"/>
        <v>0</v>
      </c>
      <c r="AJ468" s="235">
        <f t="shared" si="350"/>
        <v>0</v>
      </c>
      <c r="AK468" s="269">
        <f t="shared" si="351"/>
        <v>0</v>
      </c>
      <c r="AL468" s="269">
        <f t="shared" si="363"/>
        <v>0</v>
      </c>
      <c r="AM468" s="281" t="e">
        <f>IF(B468&gt;=mpfo,pos*vvm*Dados!$E$122*(ntudv-SUM(U$301:$U469))-SUM($AM$13:AM467),0)</f>
        <v>#DIV/0!</v>
      </c>
      <c r="AN468" s="269" t="e">
        <f t="shared" si="352"/>
        <v>#DIV/0!</v>
      </c>
      <c r="AO468" s="232" t="e">
        <f t="shared" si="353"/>
        <v>#DIV/0!</v>
      </c>
      <c r="AP468" s="242" t="e">
        <f t="shared" si="354"/>
        <v>#DIV/0!</v>
      </c>
      <c r="AQ468" s="235" t="e">
        <f>IF(AP468+SUM($AQ$12:AQ467)&gt;=0,0,-AP468-SUM($AQ$12:AQ467))</f>
        <v>#DIV/0!</v>
      </c>
      <c r="AR468" s="235">
        <f>IF(SUM($N$13:N467)&gt;=pmo,IF(SUM(N467:$N$501)&gt;(1-pmo),B468,0),0)</f>
        <v>0</v>
      </c>
      <c r="AS468" s="235" t="e">
        <f>IF((SUM($U$13:$U467)/ntudv)&gt;=pmv,IF((SUM($U467:$U$501)/ntudv)&gt;(1-pmv),B468,0),0)</f>
        <v>#DIV/0!</v>
      </c>
      <c r="AT468" s="237" t="e">
        <f>IF(MAX(mmo,mmv)=mmo,IF(B468=AR468,(SUM(N$13:$N467)-pmo)/((1-VLOOKUP(MAX(mmo,mmv)-1,$B$13:$O$501,14))+(VLOOKUP(MAX(mmo,mmv)-1,$B$13:$O$501,14)-pmo)),N467/((1-VLOOKUP(MAX(mmo,mmv)-1,$B$13:$O$501,14)+(VLOOKUP(MAX(mmo,mmv)-1,$B$13:$O$501,14)-pmo)))),N467/(1-VLOOKUP(MAX(mmo,mmv)-2,$B$13:$O$501,14)))</f>
        <v>#DIV/0!</v>
      </c>
      <c r="AU468" s="101" t="e">
        <f t="shared" si="364"/>
        <v>#DIV/0!</v>
      </c>
      <c r="AV468" s="287" t="e">
        <f t="shared" si="365"/>
        <v>#DIV/0!</v>
      </c>
      <c r="AW468" s="235" t="e">
        <f t="shared" si="355"/>
        <v>#DIV/0!</v>
      </c>
      <c r="AX468" s="281">
        <f>IF(B468&gt;mpfo,0,IF(B468=mpfo,(vld-teo*(1+tcfo-incc)^(MAX(mmo,mmv)-mbfo))*-1,IF(SUM($N$13:N467)&gt;=pmo,IF(($V467/ntudv)&gt;=pmv,IF(B468=MAX(mmo,mmv),-teo*(1+tcfo-incc)^(B468-mbfo),0),0),0)))</f>
        <v>0</v>
      </c>
      <c r="AY468" s="292" t="e">
        <f t="shared" si="366"/>
        <v>#DIV/0!</v>
      </c>
      <c r="AZ468" s="235" t="e">
        <f t="shared" si="356"/>
        <v>#DIV/0!</v>
      </c>
      <c r="BA468" s="269" t="e">
        <f t="shared" si="357"/>
        <v>#DIV/0!</v>
      </c>
      <c r="BB468" s="292" t="e">
        <f t="shared" si="358"/>
        <v>#DIV/0!</v>
      </c>
      <c r="BC468" s="238" t="e">
        <f>IF(SUM($BC$13:BC467)&gt;0,0,IF(BB468&gt;0,B468,0))</f>
        <v>#DIV/0!</v>
      </c>
      <c r="BD468" s="292" t="e">
        <f>IF(BB468+SUM($BD$12:BD467)&gt;=0,0,-BB468-SUM($BD$12:BD467))</f>
        <v>#DIV/0!</v>
      </c>
      <c r="BE468" s="235" t="e">
        <f>BB468+SUM($BD$12:BD468)</f>
        <v>#DIV/0!</v>
      </c>
      <c r="BF468" s="292" t="e">
        <f>-MIN(BE468:$BE$501)-SUM(BF$12:$BF467)</f>
        <v>#DIV/0!</v>
      </c>
      <c r="BG468" s="235" t="e">
        <f t="shared" si="369"/>
        <v>#DIV/0!</v>
      </c>
    </row>
    <row r="469" spans="2:59">
      <c r="B469" s="120">
        <v>456</v>
      </c>
      <c r="C469" s="241">
        <f t="shared" si="368"/>
        <v>56558</v>
      </c>
      <c r="D469" s="229">
        <f t="shared" si="324"/>
        <v>11</v>
      </c>
      <c r="E469" s="230" t="str">
        <f t="shared" si="325"/>
        <v>-</v>
      </c>
      <c r="F469" s="231">
        <f t="shared" si="326"/>
        <v>0</v>
      </c>
      <c r="G469" s="231">
        <f t="shared" si="327"/>
        <v>0</v>
      </c>
      <c r="H469" s="231">
        <f t="shared" si="328"/>
        <v>0</v>
      </c>
      <c r="I469" s="268">
        <f t="shared" si="359"/>
        <v>0</v>
      </c>
      <c r="J469" s="269">
        <f t="shared" si="329"/>
        <v>0</v>
      </c>
      <c r="K469" s="269">
        <f t="shared" si="330"/>
        <v>0</v>
      </c>
      <c r="L469" s="269">
        <f t="shared" si="360"/>
        <v>0</v>
      </c>
      <c r="M469" s="269">
        <f t="shared" si="361"/>
        <v>0</v>
      </c>
      <c r="N469" s="233">
        <f>VLOOKUP(B469,Dados!$L$86:$P$90,5)</f>
        <v>0</v>
      </c>
      <c r="O469" s="270">
        <f t="shared" si="331"/>
        <v>0.99999999999999989</v>
      </c>
      <c r="P469" s="269">
        <f t="shared" si="332"/>
        <v>0</v>
      </c>
      <c r="Q469" s="269" t="e">
        <f t="shared" si="333"/>
        <v>#DIV/0!</v>
      </c>
      <c r="R469" s="269">
        <f t="shared" si="334"/>
        <v>0</v>
      </c>
      <c r="S469" s="269" t="e">
        <f t="shared" si="335"/>
        <v>#DIV/0!</v>
      </c>
      <c r="T469" s="269" t="e">
        <f t="shared" si="367"/>
        <v>#DIV/0!</v>
      </c>
      <c r="U469" s="234">
        <f t="shared" si="336"/>
        <v>0</v>
      </c>
      <c r="V469" s="232" t="e">
        <f t="shared" si="337"/>
        <v>#DIV/0!</v>
      </c>
      <c r="W469" s="269" t="e">
        <f t="shared" si="338"/>
        <v>#DIV/0!</v>
      </c>
      <c r="X469" s="235">
        <f t="shared" si="362"/>
        <v>0</v>
      </c>
      <c r="Y469" s="236">
        <f t="shared" si="339"/>
        <v>5</v>
      </c>
      <c r="Z469" s="236" t="e">
        <f t="shared" si="340"/>
        <v>#DIV/0!</v>
      </c>
      <c r="AA469" s="236">
        <f t="shared" si="341"/>
        <v>3</v>
      </c>
      <c r="AB469" s="236" t="e">
        <f t="shared" si="342"/>
        <v>#DIV/0!</v>
      </c>
      <c r="AC469" s="235">
        <f t="shared" si="343"/>
        <v>0</v>
      </c>
      <c r="AD469" s="235">
        <f t="shared" si="344"/>
        <v>0</v>
      </c>
      <c r="AE469" s="279">
        <f t="shared" si="345"/>
        <v>0</v>
      </c>
      <c r="AF469" s="232">
        <f t="shared" si="346"/>
        <v>0</v>
      </c>
      <c r="AG469" s="235">
        <f t="shared" si="347"/>
        <v>0</v>
      </c>
      <c r="AH469" s="269">
        <f t="shared" si="348"/>
        <v>0</v>
      </c>
      <c r="AI469" s="232">
        <f t="shared" si="349"/>
        <v>0</v>
      </c>
      <c r="AJ469" s="235">
        <f t="shared" si="350"/>
        <v>0</v>
      </c>
      <c r="AK469" s="269">
        <f t="shared" si="351"/>
        <v>0</v>
      </c>
      <c r="AL469" s="269">
        <f t="shared" si="363"/>
        <v>0</v>
      </c>
      <c r="AM469" s="281" t="e">
        <f>IF(B469&gt;=mpfo,pos*vvm*Dados!$E$122*(ntudv-SUM(U$301:$U470))-SUM($AM$13:AM468),0)</f>
        <v>#DIV/0!</v>
      </c>
      <c r="AN469" s="269" t="e">
        <f t="shared" si="352"/>
        <v>#DIV/0!</v>
      </c>
      <c r="AO469" s="232" t="e">
        <f t="shared" si="353"/>
        <v>#DIV/0!</v>
      </c>
      <c r="AP469" s="242" t="e">
        <f t="shared" si="354"/>
        <v>#DIV/0!</v>
      </c>
      <c r="AQ469" s="235" t="e">
        <f>IF(AP469+SUM($AQ$12:AQ468)&gt;=0,0,-AP469-SUM($AQ$12:AQ468))</f>
        <v>#DIV/0!</v>
      </c>
      <c r="AR469" s="235">
        <f>IF(SUM($N$13:N468)&gt;=pmo,IF(SUM(N468:$N$501)&gt;(1-pmo),B469,0),0)</f>
        <v>0</v>
      </c>
      <c r="AS469" s="235" t="e">
        <f>IF((SUM($U$13:$U468)/ntudv)&gt;=pmv,IF((SUM($U468:$U$501)/ntudv)&gt;(1-pmv),B469,0),0)</f>
        <v>#DIV/0!</v>
      </c>
      <c r="AT469" s="237" t="e">
        <f>IF(MAX(mmo,mmv)=mmo,IF(B469=AR469,(SUM(N$13:$N468)-pmo)/((1-VLOOKUP(MAX(mmo,mmv)-1,$B$13:$O$501,14))+(VLOOKUP(MAX(mmo,mmv)-1,$B$13:$O$501,14)-pmo)),N468/((1-VLOOKUP(MAX(mmo,mmv)-1,$B$13:$O$501,14)+(VLOOKUP(MAX(mmo,mmv)-1,$B$13:$O$501,14)-pmo)))),N468/(1-VLOOKUP(MAX(mmo,mmv)-2,$B$13:$O$501,14)))</f>
        <v>#DIV/0!</v>
      </c>
      <c r="AU469" s="101" t="e">
        <f t="shared" si="364"/>
        <v>#DIV/0!</v>
      </c>
      <c r="AV469" s="287" t="e">
        <f t="shared" si="365"/>
        <v>#DIV/0!</v>
      </c>
      <c r="AW469" s="235" t="e">
        <f t="shared" si="355"/>
        <v>#DIV/0!</v>
      </c>
      <c r="AX469" s="281">
        <f>IF(B469&gt;mpfo,0,IF(B469=mpfo,(vld-teo*(1+tcfo-incc)^(MAX(mmo,mmv)-mbfo))*-1,IF(SUM($N$13:N468)&gt;=pmo,IF(($V468/ntudv)&gt;=pmv,IF(B469=MAX(mmo,mmv),-teo*(1+tcfo-incc)^(B469-mbfo),0),0),0)))</f>
        <v>0</v>
      </c>
      <c r="AY469" s="292" t="e">
        <f t="shared" si="366"/>
        <v>#DIV/0!</v>
      </c>
      <c r="AZ469" s="235" t="e">
        <f t="shared" si="356"/>
        <v>#DIV/0!</v>
      </c>
      <c r="BA469" s="269" t="e">
        <f t="shared" si="357"/>
        <v>#DIV/0!</v>
      </c>
      <c r="BB469" s="292" t="e">
        <f t="shared" si="358"/>
        <v>#DIV/0!</v>
      </c>
      <c r="BC469" s="238" t="e">
        <f>IF(SUM($BC$13:BC468)&gt;0,0,IF(BB469&gt;0,B469,0))</f>
        <v>#DIV/0!</v>
      </c>
      <c r="BD469" s="292" t="e">
        <f>IF(BB469+SUM($BD$12:BD468)&gt;=0,0,-BB469-SUM($BD$12:BD468))</f>
        <v>#DIV/0!</v>
      </c>
      <c r="BE469" s="235" t="e">
        <f>BB469+SUM($BD$12:BD469)</f>
        <v>#DIV/0!</v>
      </c>
      <c r="BF469" s="292" t="e">
        <f>-MIN(BE469:$BE$501)-SUM(BF$12:$BF468)</f>
        <v>#DIV/0!</v>
      </c>
      <c r="BG469" s="235" t="e">
        <f t="shared" si="369"/>
        <v>#DIV/0!</v>
      </c>
    </row>
    <row r="470" spans="2:59">
      <c r="B470" s="246">
        <v>457</v>
      </c>
      <c r="C470" s="241">
        <f t="shared" si="368"/>
        <v>56588</v>
      </c>
      <c r="D470" s="229">
        <f t="shared" si="324"/>
        <v>12</v>
      </c>
      <c r="E470" s="230" t="str">
        <f t="shared" si="325"/>
        <v>-</v>
      </c>
      <c r="F470" s="231">
        <f t="shared" si="326"/>
        <v>0</v>
      </c>
      <c r="G470" s="231">
        <f t="shared" si="327"/>
        <v>0</v>
      </c>
      <c r="H470" s="231">
        <f t="shared" si="328"/>
        <v>0</v>
      </c>
      <c r="I470" s="268">
        <f t="shared" si="359"/>
        <v>0</v>
      </c>
      <c r="J470" s="269">
        <f t="shared" si="329"/>
        <v>0</v>
      </c>
      <c r="K470" s="269">
        <f t="shared" si="330"/>
        <v>0</v>
      </c>
      <c r="L470" s="269">
        <f t="shared" si="360"/>
        <v>0</v>
      </c>
      <c r="M470" s="269">
        <f t="shared" si="361"/>
        <v>0</v>
      </c>
      <c r="N470" s="233">
        <f>VLOOKUP(B470,Dados!$L$86:$P$90,5)</f>
        <v>0</v>
      </c>
      <c r="O470" s="270">
        <f t="shared" si="331"/>
        <v>0.99999999999999989</v>
      </c>
      <c r="P470" s="269">
        <f t="shared" si="332"/>
        <v>0</v>
      </c>
      <c r="Q470" s="269" t="e">
        <f t="shared" si="333"/>
        <v>#DIV/0!</v>
      </c>
      <c r="R470" s="269">
        <f t="shared" si="334"/>
        <v>0</v>
      </c>
      <c r="S470" s="269" t="e">
        <f t="shared" si="335"/>
        <v>#DIV/0!</v>
      </c>
      <c r="T470" s="269" t="e">
        <f t="shared" si="367"/>
        <v>#DIV/0!</v>
      </c>
      <c r="U470" s="234">
        <f t="shared" si="336"/>
        <v>0</v>
      </c>
      <c r="V470" s="232" t="e">
        <f t="shared" si="337"/>
        <v>#DIV/0!</v>
      </c>
      <c r="W470" s="269" t="e">
        <f t="shared" si="338"/>
        <v>#DIV/0!</v>
      </c>
      <c r="X470" s="235">
        <f t="shared" si="362"/>
        <v>0</v>
      </c>
      <c r="Y470" s="236">
        <f t="shared" si="339"/>
        <v>5</v>
      </c>
      <c r="Z470" s="236" t="e">
        <f t="shared" si="340"/>
        <v>#DIV/0!</v>
      </c>
      <c r="AA470" s="236">
        <f t="shared" si="341"/>
        <v>3</v>
      </c>
      <c r="AB470" s="236" t="e">
        <f t="shared" si="342"/>
        <v>#DIV/0!</v>
      </c>
      <c r="AC470" s="235">
        <f t="shared" si="343"/>
        <v>0</v>
      </c>
      <c r="AD470" s="235">
        <f t="shared" si="344"/>
        <v>0</v>
      </c>
      <c r="AE470" s="279">
        <f t="shared" si="345"/>
        <v>0</v>
      </c>
      <c r="AF470" s="232">
        <f t="shared" si="346"/>
        <v>1</v>
      </c>
      <c r="AG470" s="235">
        <f t="shared" si="347"/>
        <v>0</v>
      </c>
      <c r="AH470" s="269">
        <f t="shared" si="348"/>
        <v>0</v>
      </c>
      <c r="AI470" s="232">
        <f t="shared" si="349"/>
        <v>1</v>
      </c>
      <c r="AJ470" s="235">
        <f t="shared" si="350"/>
        <v>0</v>
      </c>
      <c r="AK470" s="269">
        <f t="shared" si="351"/>
        <v>0</v>
      </c>
      <c r="AL470" s="269">
        <f t="shared" si="363"/>
        <v>0</v>
      </c>
      <c r="AM470" s="281" t="e">
        <f>IF(B470&gt;=mpfo,pos*vvm*Dados!$E$122*(ntudv-SUM(U$301:$U471))-SUM($AM$13:AM469),0)</f>
        <v>#DIV/0!</v>
      </c>
      <c r="AN470" s="269" t="e">
        <f t="shared" si="352"/>
        <v>#DIV/0!</v>
      </c>
      <c r="AO470" s="232" t="e">
        <f t="shared" si="353"/>
        <v>#DIV/0!</v>
      </c>
      <c r="AP470" s="242" t="e">
        <f t="shared" si="354"/>
        <v>#DIV/0!</v>
      </c>
      <c r="AQ470" s="235" t="e">
        <f>IF(AP470+SUM($AQ$12:AQ469)&gt;=0,0,-AP470-SUM($AQ$12:AQ469))</f>
        <v>#DIV/0!</v>
      </c>
      <c r="AR470" s="235">
        <f>IF(SUM($N$13:N469)&gt;=pmo,IF(SUM(N469:$N$501)&gt;(1-pmo),B470,0),0)</f>
        <v>0</v>
      </c>
      <c r="AS470" s="235" t="e">
        <f>IF((SUM($U$13:$U469)/ntudv)&gt;=pmv,IF((SUM($U469:$U$501)/ntudv)&gt;(1-pmv),B470,0),0)</f>
        <v>#DIV/0!</v>
      </c>
      <c r="AT470" s="237" t="e">
        <f>IF(MAX(mmo,mmv)=mmo,IF(B470=AR470,(SUM(N$13:$N469)-pmo)/((1-VLOOKUP(MAX(mmo,mmv)-1,$B$13:$O$501,14))+(VLOOKUP(MAX(mmo,mmv)-1,$B$13:$O$501,14)-pmo)),N469/((1-VLOOKUP(MAX(mmo,mmv)-1,$B$13:$O$501,14)+(VLOOKUP(MAX(mmo,mmv)-1,$B$13:$O$501,14)-pmo)))),N469/(1-VLOOKUP(MAX(mmo,mmv)-2,$B$13:$O$501,14)))</f>
        <v>#DIV/0!</v>
      </c>
      <c r="AU470" s="101" t="e">
        <f t="shared" si="364"/>
        <v>#DIV/0!</v>
      </c>
      <c r="AV470" s="287" t="e">
        <f t="shared" si="365"/>
        <v>#DIV/0!</v>
      </c>
      <c r="AW470" s="235" t="e">
        <f t="shared" si="355"/>
        <v>#DIV/0!</v>
      </c>
      <c r="AX470" s="281">
        <f>IF(B470&gt;mpfo,0,IF(B470=mpfo,(vld-teo*(1+tcfo-incc)^(MAX(mmo,mmv)-mbfo))*-1,IF(SUM($N$13:N469)&gt;=pmo,IF(($V469/ntudv)&gt;=pmv,IF(B470=MAX(mmo,mmv),-teo*(1+tcfo-incc)^(B470-mbfo),0),0),0)))</f>
        <v>0</v>
      </c>
      <c r="AY470" s="292" t="e">
        <f t="shared" si="366"/>
        <v>#DIV/0!</v>
      </c>
      <c r="AZ470" s="235" t="e">
        <f t="shared" si="356"/>
        <v>#DIV/0!</v>
      </c>
      <c r="BA470" s="269" t="e">
        <f t="shared" si="357"/>
        <v>#DIV/0!</v>
      </c>
      <c r="BB470" s="292" t="e">
        <f t="shared" si="358"/>
        <v>#DIV/0!</v>
      </c>
      <c r="BC470" s="238" t="e">
        <f>IF(SUM($BC$13:BC469)&gt;0,0,IF(BB470&gt;0,B470,0))</f>
        <v>#DIV/0!</v>
      </c>
      <c r="BD470" s="292" t="e">
        <f>IF(BB470+SUM($BD$12:BD469)&gt;=0,0,-BB470-SUM($BD$12:BD469))</f>
        <v>#DIV/0!</v>
      </c>
      <c r="BE470" s="235" t="e">
        <f>BB470+SUM($BD$12:BD470)</f>
        <v>#DIV/0!</v>
      </c>
      <c r="BF470" s="292" t="e">
        <f>-MIN(BE470:$BE$501)-SUM(BF$12:$BF469)</f>
        <v>#DIV/0!</v>
      </c>
      <c r="BG470" s="235" t="e">
        <f t="shared" si="369"/>
        <v>#DIV/0!</v>
      </c>
    </row>
    <row r="471" spans="2:59">
      <c r="B471" s="120">
        <v>458</v>
      </c>
      <c r="C471" s="241">
        <f t="shared" si="368"/>
        <v>56619</v>
      </c>
      <c r="D471" s="229">
        <f t="shared" si="324"/>
        <v>1</v>
      </c>
      <c r="E471" s="230" t="str">
        <f t="shared" si="325"/>
        <v>-</v>
      </c>
      <c r="F471" s="231">
        <f t="shared" si="326"/>
        <v>0</v>
      </c>
      <c r="G471" s="231">
        <f t="shared" si="327"/>
        <v>0</v>
      </c>
      <c r="H471" s="231">
        <f t="shared" si="328"/>
        <v>0</v>
      </c>
      <c r="I471" s="268">
        <f t="shared" si="359"/>
        <v>0</v>
      </c>
      <c r="J471" s="269">
        <f t="shared" si="329"/>
        <v>0</v>
      </c>
      <c r="K471" s="269">
        <f t="shared" si="330"/>
        <v>0</v>
      </c>
      <c r="L471" s="269">
        <f t="shared" si="360"/>
        <v>0</v>
      </c>
      <c r="M471" s="269">
        <f t="shared" si="361"/>
        <v>0</v>
      </c>
      <c r="N471" s="233">
        <f>VLOOKUP(B471,Dados!$L$86:$P$90,5)</f>
        <v>0</v>
      </c>
      <c r="O471" s="270">
        <f t="shared" si="331"/>
        <v>0.99999999999999989</v>
      </c>
      <c r="P471" s="269">
        <f t="shared" si="332"/>
        <v>0</v>
      </c>
      <c r="Q471" s="269" t="e">
        <f t="shared" si="333"/>
        <v>#DIV/0!</v>
      </c>
      <c r="R471" s="269">
        <f t="shared" si="334"/>
        <v>0</v>
      </c>
      <c r="S471" s="269" t="e">
        <f t="shared" si="335"/>
        <v>#DIV/0!</v>
      </c>
      <c r="T471" s="269" t="e">
        <f t="shared" si="367"/>
        <v>#DIV/0!</v>
      </c>
      <c r="U471" s="234">
        <f t="shared" si="336"/>
        <v>0</v>
      </c>
      <c r="V471" s="232" t="e">
        <f t="shared" si="337"/>
        <v>#DIV/0!</v>
      </c>
      <c r="W471" s="269" t="e">
        <f t="shared" si="338"/>
        <v>#DIV/0!</v>
      </c>
      <c r="X471" s="235">
        <f t="shared" si="362"/>
        <v>0</v>
      </c>
      <c r="Y471" s="236">
        <f t="shared" si="339"/>
        <v>5</v>
      </c>
      <c r="Z471" s="236" t="e">
        <f t="shared" si="340"/>
        <v>#DIV/0!</v>
      </c>
      <c r="AA471" s="236">
        <f t="shared" si="341"/>
        <v>3</v>
      </c>
      <c r="AB471" s="236" t="e">
        <f t="shared" si="342"/>
        <v>#DIV/0!</v>
      </c>
      <c r="AC471" s="235">
        <f t="shared" si="343"/>
        <v>0</v>
      </c>
      <c r="AD471" s="235">
        <f t="shared" si="344"/>
        <v>0</v>
      </c>
      <c r="AE471" s="279">
        <f t="shared" si="345"/>
        <v>0</v>
      </c>
      <c r="AF471" s="232">
        <f t="shared" si="346"/>
        <v>0</v>
      </c>
      <c r="AG471" s="235">
        <f t="shared" si="347"/>
        <v>0</v>
      </c>
      <c r="AH471" s="269">
        <f t="shared" si="348"/>
        <v>0</v>
      </c>
      <c r="AI471" s="232">
        <f t="shared" si="349"/>
        <v>0</v>
      </c>
      <c r="AJ471" s="235">
        <f t="shared" si="350"/>
        <v>0</v>
      </c>
      <c r="AK471" s="269">
        <f t="shared" si="351"/>
        <v>0</v>
      </c>
      <c r="AL471" s="269">
        <f t="shared" si="363"/>
        <v>0</v>
      </c>
      <c r="AM471" s="281" t="e">
        <f>IF(B471&gt;=mpfo,pos*vvm*Dados!$E$122*(ntudv-SUM(U$301:$U472))-SUM($AM$13:AM470),0)</f>
        <v>#DIV/0!</v>
      </c>
      <c r="AN471" s="269" t="e">
        <f t="shared" si="352"/>
        <v>#DIV/0!</v>
      </c>
      <c r="AO471" s="232" t="e">
        <f t="shared" si="353"/>
        <v>#DIV/0!</v>
      </c>
      <c r="AP471" s="242" t="e">
        <f t="shared" si="354"/>
        <v>#DIV/0!</v>
      </c>
      <c r="AQ471" s="235" t="e">
        <f>IF(AP471+SUM($AQ$12:AQ470)&gt;=0,0,-AP471-SUM($AQ$12:AQ470))</f>
        <v>#DIV/0!</v>
      </c>
      <c r="AR471" s="235">
        <f>IF(SUM($N$13:N470)&gt;=pmo,IF(SUM(N470:$N$501)&gt;(1-pmo),B471,0),0)</f>
        <v>0</v>
      </c>
      <c r="AS471" s="235" t="e">
        <f>IF((SUM($U$13:$U470)/ntudv)&gt;=pmv,IF((SUM($U470:$U$501)/ntudv)&gt;(1-pmv),B471,0),0)</f>
        <v>#DIV/0!</v>
      </c>
      <c r="AT471" s="237" t="e">
        <f>IF(MAX(mmo,mmv)=mmo,IF(B471=AR471,(SUM(N$13:$N470)-pmo)/((1-VLOOKUP(MAX(mmo,mmv)-1,$B$13:$O$501,14))+(VLOOKUP(MAX(mmo,mmv)-1,$B$13:$O$501,14)-pmo)),N470/((1-VLOOKUP(MAX(mmo,mmv)-1,$B$13:$O$501,14)+(VLOOKUP(MAX(mmo,mmv)-1,$B$13:$O$501,14)-pmo)))),N470/(1-VLOOKUP(MAX(mmo,mmv)-2,$B$13:$O$501,14)))</f>
        <v>#DIV/0!</v>
      </c>
      <c r="AU471" s="101" t="e">
        <f t="shared" si="364"/>
        <v>#DIV/0!</v>
      </c>
      <c r="AV471" s="287" t="e">
        <f t="shared" si="365"/>
        <v>#DIV/0!</v>
      </c>
      <c r="AW471" s="235" t="e">
        <f t="shared" si="355"/>
        <v>#DIV/0!</v>
      </c>
      <c r="AX471" s="281">
        <f>IF(B471&gt;mpfo,0,IF(B471=mpfo,(vld-teo*(1+tcfo-incc)^(MAX(mmo,mmv)-mbfo))*-1,IF(SUM($N$13:N470)&gt;=pmo,IF(($V470/ntudv)&gt;=pmv,IF(B471=MAX(mmo,mmv),-teo*(1+tcfo-incc)^(B471-mbfo),0),0),0)))</f>
        <v>0</v>
      </c>
      <c r="AY471" s="292" t="e">
        <f t="shared" si="366"/>
        <v>#DIV/0!</v>
      </c>
      <c r="AZ471" s="235" t="e">
        <f t="shared" si="356"/>
        <v>#DIV/0!</v>
      </c>
      <c r="BA471" s="269" t="e">
        <f t="shared" si="357"/>
        <v>#DIV/0!</v>
      </c>
      <c r="BB471" s="292" t="e">
        <f t="shared" si="358"/>
        <v>#DIV/0!</v>
      </c>
      <c r="BC471" s="238" t="e">
        <f>IF(SUM($BC$13:BC470)&gt;0,0,IF(BB471&gt;0,B471,0))</f>
        <v>#DIV/0!</v>
      </c>
      <c r="BD471" s="292" t="e">
        <f>IF(BB471+SUM($BD$12:BD470)&gt;=0,0,-BB471-SUM($BD$12:BD470))</f>
        <v>#DIV/0!</v>
      </c>
      <c r="BE471" s="235" t="e">
        <f>BB471+SUM($BD$12:BD471)</f>
        <v>#DIV/0!</v>
      </c>
      <c r="BF471" s="292" t="e">
        <f>-MIN(BE471:$BE$501)-SUM(BF$12:$BF470)</f>
        <v>#DIV/0!</v>
      </c>
      <c r="BG471" s="235" t="e">
        <f t="shared" si="369"/>
        <v>#DIV/0!</v>
      </c>
    </row>
    <row r="472" spans="2:59">
      <c r="B472" s="246">
        <v>459</v>
      </c>
      <c r="C472" s="241">
        <f t="shared" si="368"/>
        <v>56650</v>
      </c>
      <c r="D472" s="229">
        <f t="shared" ref="D472:D501" si="370">MONTH(C472)</f>
        <v>2</v>
      </c>
      <c r="E472" s="230" t="str">
        <f t="shared" ref="E472:E501" si="371">IF(B472=mpo,"Outorga",IF(B472=mpt,"Terreno",IF(B472=mlan,"Lançamento", IF(B472=mio,"Inic. Obras",IF(B472=mio+prazo-1,"Concl. Obras",IF(B472=mec,"Chaves", IF(B472=mpfo,"Pgto. Financ.","-")))))))</f>
        <v>-</v>
      </c>
      <c r="F472" s="231">
        <f t="shared" ref="F472:F501" si="372">IF(B472=mpo, voo,0)</f>
        <v>0</v>
      </c>
      <c r="G472" s="231">
        <f t="shared" ref="G472:G501" si="373">IF(B472&gt;(mpt+npt),0,IF(B472&lt;(mpt+npt+1),IF(B472&gt;mpt,(vtd-vst)/npt/(igpm+1)^B472,IF(B472=mpt,vst/(igpm+1)^B472,0))))</f>
        <v>0</v>
      </c>
      <c r="H472" s="231">
        <f t="shared" ref="H472:H501" si="374">IF(B472&gt;(mpt+npt),0,IF(B472&lt;(mpt+npt+1),IF(B472&gt;mpt,(vtd-vst)/npt/(delta+1)^B472,IF(B472=mpt,vst/(delta+1)^B472,0))))</f>
        <v>0</v>
      </c>
      <c r="I472" s="268">
        <f t="shared" si="359"/>
        <v>0</v>
      </c>
      <c r="J472" s="269">
        <f t="shared" ref="J472:J501" si="375">IF(B472=mpdt,dtt,0)*-1</f>
        <v>0</v>
      </c>
      <c r="K472" s="269">
        <f t="shared" ref="K472:K501" si="376">IF(B472&gt;mdji+npdji,0,IF(B472&lt;mdji+npdji,IF(B472&gt;=mdji,dji*vgv/npdji,0),0))*-1</f>
        <v>0</v>
      </c>
      <c r="L472" s="269">
        <f t="shared" si="360"/>
        <v>0</v>
      </c>
      <c r="M472" s="269">
        <f t="shared" si="361"/>
        <v>0</v>
      </c>
      <c r="N472" s="233">
        <f>VLOOKUP(B472,Dados!$L$86:$P$90,5)</f>
        <v>0</v>
      </c>
      <c r="O472" s="270">
        <f t="shared" ref="O472:O501" si="377">N472+O471</f>
        <v>0.99999999999999989</v>
      </c>
      <c r="P472" s="269">
        <f t="shared" ref="P472:P501" si="378">N472*cto*-1</f>
        <v>0</v>
      </c>
      <c r="Q472" s="269" t="e">
        <f t="shared" ref="Q472:Q501" si="379">AN472*pimp*-1</f>
        <v>#DIV/0!</v>
      </c>
      <c r="R472" s="269">
        <f t="shared" ref="R472:R501" si="380">IF(B472&gt;=1,IF(B472&lt;=(mec+6),padm*vgv/(mec+6),0),0)*-1</f>
        <v>0</v>
      </c>
      <c r="S472" s="269" t="e">
        <f t="shared" ref="S472:S501" si="381">U472*vvm*pcorr*-1</f>
        <v>#DIV/0!</v>
      </c>
      <c r="T472" s="269" t="e">
        <f t="shared" si="367"/>
        <v>#DIV/0!</v>
      </c>
      <c r="U472" s="234">
        <f t="shared" ref="U472:U501" si="382">VLOOKUP(B472,tabvv,4)</f>
        <v>0</v>
      </c>
      <c r="V472" s="232" t="e">
        <f t="shared" ref="V472:V501" si="383">V471+U472</f>
        <v>#DIV/0!</v>
      </c>
      <c r="W472" s="269" t="e">
        <f t="shared" ref="W472:W501" si="384">U472*vvm*sinal+X472+Z472+AB472</f>
        <v>#DIV/0!</v>
      </c>
      <c r="X472" s="235">
        <f t="shared" si="362"/>
        <v>0</v>
      </c>
      <c r="Y472" s="236">
        <f t="shared" ref="Y472:Y501" si="385">IF($B472&gt;mlan+5,IF($B472&lt;=mco,Y471+$AF471,+Y471),0)</f>
        <v>5</v>
      </c>
      <c r="Z472" s="236" t="e">
        <f t="shared" ref="Z472:Z501" si="386">Y472*vvm*sem*U472/npse</f>
        <v>#DIV/0!</v>
      </c>
      <c r="AA472" s="236">
        <f t="shared" ref="AA472:AA501" si="387">IF($B472&gt;mlan+5,IF($B472&lt;=mco,AA471+$AI471,+AA471),0)</f>
        <v>3</v>
      </c>
      <c r="AB472" s="236" t="e">
        <f t="shared" ref="AB472:AB501" si="388">AA472*vvm*anu*U472/npa</f>
        <v>#DIV/0!</v>
      </c>
      <c r="AC472" s="235">
        <f t="shared" ref="AC472:AC501" si="389">IF(B472&gt;=mec,0,V471*mdo*vvm/npm)</f>
        <v>0</v>
      </c>
      <c r="AD472" s="235">
        <f t="shared" ref="AD472:AD501" si="390">IF(B472&gt;mec,IF(B472&lt;=mec+npfd,pmtfd*nufd,0),0)</f>
        <v>0</v>
      </c>
      <c r="AE472" s="279">
        <f t="shared" ref="AE472:AE501" si="391">AD472+AC472</f>
        <v>0</v>
      </c>
      <c r="AF472" s="232">
        <f t="shared" ref="AF472:AF501" si="392">IF(D472=6,1,IF(D472=12,1,0))</f>
        <v>0</v>
      </c>
      <c r="AG472" s="235">
        <f t="shared" ref="AG472:AG501" si="393">IF($B472&gt;mlan+5,IF($B472&lt;=mco,$AG471+$AF472,0),0)</f>
        <v>0</v>
      </c>
      <c r="AH472" s="269">
        <f t="shared" ref="AH472:AH501" si="394">IF(B472&gt;=mlan+5,IF(B472&lt;=mco,V472*vvm*sem*AF472/npse,0),0)</f>
        <v>0</v>
      </c>
      <c r="AI472" s="232">
        <f t="shared" ref="AI472:AI501" si="395">IF(D472=12,1,0)</f>
        <v>0</v>
      </c>
      <c r="AJ472" s="235">
        <f t="shared" ref="AJ472:AJ501" si="396">IF(B471&gt;=mlan+5,IF(B471&lt;mco,AJ471+AI472,0),0)</f>
        <v>0</v>
      </c>
      <c r="AK472" s="269">
        <f t="shared" ref="AK472:AK501" si="397">IF(B472&lt;=mco,IF(B472&gt;=mlan+5,V472*vvm*anu/npa*AI472,0),0)</f>
        <v>0</v>
      </c>
      <c r="AL472" s="269">
        <f t="shared" si="363"/>
        <v>0</v>
      </c>
      <c r="AM472" s="281" t="e">
        <f>IF(B472&gt;=mpfo,pos*vvm*Dados!$E$122*(ntudv-SUM(U$301:$U473))-SUM($AM$13:AM471),0)</f>
        <v>#DIV/0!</v>
      </c>
      <c r="AN472" s="269" t="e">
        <f t="shared" ref="AN472:AN501" si="398">AL472+AK472+AH472+AE472+W472+AM472</f>
        <v>#DIV/0!</v>
      </c>
      <c r="AO472" s="232" t="e">
        <f t="shared" ref="AO472:AO501" si="399">AN472+T472</f>
        <v>#DIV/0!</v>
      </c>
      <c r="AP472" s="242" t="e">
        <f t="shared" ref="AP472:AP501" si="400">AP471+AO472</f>
        <v>#DIV/0!</v>
      </c>
      <c r="AQ472" s="235" t="e">
        <f>IF(AP472+SUM($AQ$12:AQ471)&gt;=0,0,-AP472-SUM($AQ$12:AQ471))</f>
        <v>#DIV/0!</v>
      </c>
      <c r="AR472" s="235">
        <f>IF(SUM($N$13:N471)&gt;=pmo,IF(SUM(N471:$N$501)&gt;(1-pmo),B472,0),0)</f>
        <v>0</v>
      </c>
      <c r="AS472" s="235" t="e">
        <f>IF((SUM($U$13:$U471)/ntudv)&gt;=pmv,IF((SUM($U471:$U$501)/ntudv)&gt;(1-pmv),B472,0),0)</f>
        <v>#DIV/0!</v>
      </c>
      <c r="AT472" s="237" t="e">
        <f>IF(MAX(mmo,mmv)=mmo,IF(B472=AR472,(SUM(N$13:$N471)-pmo)/((1-VLOOKUP(MAX(mmo,mmv)-1,$B$13:$O$501,14))+(VLOOKUP(MAX(mmo,mmv)-1,$B$13:$O$501,14)-pmo)),N471/((1-VLOOKUP(MAX(mmo,mmv)-1,$B$13:$O$501,14)+(VLOOKUP(MAX(mmo,mmv)-1,$B$13:$O$501,14)-pmo)))),N471/(1-VLOOKUP(MAX(mmo,mmv)-2,$B$13:$O$501,14)))</f>
        <v>#DIV/0!</v>
      </c>
      <c r="AU472" s="101" t="e">
        <f t="shared" si="364"/>
        <v>#DIV/0!</v>
      </c>
      <c r="AV472" s="287" t="e">
        <f t="shared" si="365"/>
        <v>#DIV/0!</v>
      </c>
      <c r="AW472" s="235" t="e">
        <f t="shared" ref="AW472:AW501" si="401">AV472+AZ471*(1+jfo)</f>
        <v>#DIV/0!</v>
      </c>
      <c r="AX472" s="281">
        <f>IF(B472&gt;mpfo,0,IF(B472=mpfo,(vld-teo*(1+tcfo-incc)^(MAX(mmo,mmv)-mbfo))*-1,IF(SUM($N$13:N471)&gt;=pmo,IF(($V471/ntudv)&gt;=pmv,IF(B472=MAX(mmo,mmv),-teo*(1+tcfo-incc)^(B472-mbfo),0),0),0)))</f>
        <v>0</v>
      </c>
      <c r="AY472" s="292" t="e">
        <f t="shared" si="366"/>
        <v>#DIV/0!</v>
      </c>
      <c r="AZ472" s="235" t="e">
        <f t="shared" ref="AZ472:AZ501" si="402">AW472+AX472+AY472</f>
        <v>#DIV/0!</v>
      </c>
      <c r="BA472" s="269" t="e">
        <f t="shared" ref="BA472:BA501" si="403">AO472+AV472+AX472+AY472</f>
        <v>#DIV/0!</v>
      </c>
      <c r="BB472" s="292" t="e">
        <f t="shared" ref="BB472:BB501" si="404">BB471+BA472</f>
        <v>#DIV/0!</v>
      </c>
      <c r="BC472" s="238" t="e">
        <f>IF(SUM($BC$13:BC471)&gt;0,0,IF(BB472&gt;0,B472,0))</f>
        <v>#DIV/0!</v>
      </c>
      <c r="BD472" s="292" t="e">
        <f>IF(BB472+SUM($BD$12:BD471)&gt;=0,0,-BB472-SUM($BD$12:BD471))</f>
        <v>#DIV/0!</v>
      </c>
      <c r="BE472" s="235" t="e">
        <f>BB472+SUM($BD$12:BD472)</f>
        <v>#DIV/0!</v>
      </c>
      <c r="BF472" s="292" t="e">
        <f>-MIN(BE472:$BE$501)-SUM(BF$12:$BF471)</f>
        <v>#DIV/0!</v>
      </c>
      <c r="BG472" s="235" t="e">
        <f t="shared" si="369"/>
        <v>#DIV/0!</v>
      </c>
    </row>
    <row r="473" spans="2:59">
      <c r="B473" s="120">
        <v>460</v>
      </c>
      <c r="C473" s="241">
        <f t="shared" si="368"/>
        <v>56678</v>
      </c>
      <c r="D473" s="229">
        <f t="shared" si="370"/>
        <v>3</v>
      </c>
      <c r="E473" s="230" t="str">
        <f t="shared" si="371"/>
        <v>-</v>
      </c>
      <c r="F473" s="231">
        <f t="shared" si="372"/>
        <v>0</v>
      </c>
      <c r="G473" s="231">
        <f t="shared" si="373"/>
        <v>0</v>
      </c>
      <c r="H473" s="231">
        <f t="shared" si="374"/>
        <v>0</v>
      </c>
      <c r="I473" s="268">
        <f t="shared" si="359"/>
        <v>0</v>
      </c>
      <c r="J473" s="269">
        <f t="shared" si="375"/>
        <v>0</v>
      </c>
      <c r="K473" s="269">
        <f t="shared" si="376"/>
        <v>0</v>
      </c>
      <c r="L473" s="269">
        <f t="shared" si="360"/>
        <v>0</v>
      </c>
      <c r="M473" s="269">
        <f t="shared" si="361"/>
        <v>0</v>
      </c>
      <c r="N473" s="233">
        <f>VLOOKUP(B473,Dados!$L$86:$P$90,5)</f>
        <v>0</v>
      </c>
      <c r="O473" s="270">
        <f t="shared" si="377"/>
        <v>0.99999999999999989</v>
      </c>
      <c r="P473" s="269">
        <f t="shared" si="378"/>
        <v>0</v>
      </c>
      <c r="Q473" s="269" t="e">
        <f t="shared" si="379"/>
        <v>#DIV/0!</v>
      </c>
      <c r="R473" s="269">
        <f t="shared" si="380"/>
        <v>0</v>
      </c>
      <c r="S473" s="269" t="e">
        <f t="shared" si="381"/>
        <v>#DIV/0!</v>
      </c>
      <c r="T473" s="269" t="e">
        <f t="shared" si="367"/>
        <v>#DIV/0!</v>
      </c>
      <c r="U473" s="234">
        <f t="shared" si="382"/>
        <v>0</v>
      </c>
      <c r="V473" s="232" t="e">
        <f t="shared" si="383"/>
        <v>#DIV/0!</v>
      </c>
      <c r="W473" s="269" t="e">
        <f t="shared" si="384"/>
        <v>#DIV/0!</v>
      </c>
      <c r="X473" s="235">
        <f t="shared" si="362"/>
        <v>0</v>
      </c>
      <c r="Y473" s="236">
        <f t="shared" si="385"/>
        <v>5</v>
      </c>
      <c r="Z473" s="236" t="e">
        <f t="shared" si="386"/>
        <v>#DIV/0!</v>
      </c>
      <c r="AA473" s="236">
        <f t="shared" si="387"/>
        <v>3</v>
      </c>
      <c r="AB473" s="236" t="e">
        <f t="shared" si="388"/>
        <v>#DIV/0!</v>
      </c>
      <c r="AC473" s="235">
        <f t="shared" si="389"/>
        <v>0</v>
      </c>
      <c r="AD473" s="235">
        <f t="shared" si="390"/>
        <v>0</v>
      </c>
      <c r="AE473" s="279">
        <f t="shared" si="391"/>
        <v>0</v>
      </c>
      <c r="AF473" s="232">
        <f t="shared" si="392"/>
        <v>0</v>
      </c>
      <c r="AG473" s="235">
        <f t="shared" si="393"/>
        <v>0</v>
      </c>
      <c r="AH473" s="269">
        <f t="shared" si="394"/>
        <v>0</v>
      </c>
      <c r="AI473" s="232">
        <f t="shared" si="395"/>
        <v>0</v>
      </c>
      <c r="AJ473" s="235">
        <f t="shared" si="396"/>
        <v>0</v>
      </c>
      <c r="AK473" s="269">
        <f t="shared" si="397"/>
        <v>0</v>
      </c>
      <c r="AL473" s="269">
        <f t="shared" si="363"/>
        <v>0</v>
      </c>
      <c r="AM473" s="281" t="e">
        <f>IF(B473&gt;=mpfo,pos*vvm*Dados!$E$122*(ntudv-SUM(U$301:$U474))-SUM($AM$13:AM472),0)</f>
        <v>#DIV/0!</v>
      </c>
      <c r="AN473" s="269" t="e">
        <f t="shared" si="398"/>
        <v>#DIV/0!</v>
      </c>
      <c r="AO473" s="232" t="e">
        <f t="shared" si="399"/>
        <v>#DIV/0!</v>
      </c>
      <c r="AP473" s="242" t="e">
        <f t="shared" si="400"/>
        <v>#DIV/0!</v>
      </c>
      <c r="AQ473" s="235" t="e">
        <f>IF(AP473+SUM($AQ$12:AQ472)&gt;=0,0,-AP473-SUM($AQ$12:AQ472))</f>
        <v>#DIV/0!</v>
      </c>
      <c r="AR473" s="235">
        <f>IF(SUM($N$13:N472)&gt;=pmo,IF(SUM(N472:$N$501)&gt;(1-pmo),B473,0),0)</f>
        <v>0</v>
      </c>
      <c r="AS473" s="235" t="e">
        <f>IF((SUM($U$13:$U472)/ntudv)&gt;=pmv,IF((SUM($U472:$U$501)/ntudv)&gt;(1-pmv),B473,0),0)</f>
        <v>#DIV/0!</v>
      </c>
      <c r="AT473" s="237" t="e">
        <f>IF(MAX(mmo,mmv)=mmo,IF(B473=AR473,(SUM(N$13:$N472)-pmo)/((1-VLOOKUP(MAX(mmo,mmv)-1,$B$13:$O$501,14))+(VLOOKUP(MAX(mmo,mmv)-1,$B$13:$O$501,14)-pmo)),N472/((1-VLOOKUP(MAX(mmo,mmv)-1,$B$13:$O$501,14)+(VLOOKUP(MAX(mmo,mmv)-1,$B$13:$O$501,14)-pmo)))),N472/(1-VLOOKUP(MAX(mmo,mmv)-2,$B$13:$O$501,14)))</f>
        <v>#DIV/0!</v>
      </c>
      <c r="AU473" s="101" t="e">
        <f t="shared" si="364"/>
        <v>#DIV/0!</v>
      </c>
      <c r="AV473" s="287" t="e">
        <f t="shared" si="365"/>
        <v>#DIV/0!</v>
      </c>
      <c r="AW473" s="235" t="e">
        <f t="shared" si="401"/>
        <v>#DIV/0!</v>
      </c>
      <c r="AX473" s="281">
        <f>IF(B473&gt;mpfo,0,IF(B473=mpfo,(vld-teo*(1+tcfo-incc)^(MAX(mmo,mmv)-mbfo))*-1,IF(SUM($N$13:N472)&gt;=pmo,IF(($V472/ntudv)&gt;=pmv,IF(B473=MAX(mmo,mmv),-teo*(1+tcfo-incc)^(B473-mbfo),0),0),0)))</f>
        <v>0</v>
      </c>
      <c r="AY473" s="292" t="e">
        <f t="shared" si="366"/>
        <v>#DIV/0!</v>
      </c>
      <c r="AZ473" s="235" t="e">
        <f t="shared" si="402"/>
        <v>#DIV/0!</v>
      </c>
      <c r="BA473" s="269" t="e">
        <f t="shared" si="403"/>
        <v>#DIV/0!</v>
      </c>
      <c r="BB473" s="292" t="e">
        <f t="shared" si="404"/>
        <v>#DIV/0!</v>
      </c>
      <c r="BC473" s="238" t="e">
        <f>IF(SUM($BC$13:BC472)&gt;0,0,IF(BB473&gt;0,B473,0))</f>
        <v>#DIV/0!</v>
      </c>
      <c r="BD473" s="292" t="e">
        <f>IF(BB473+SUM($BD$12:BD472)&gt;=0,0,-BB473-SUM($BD$12:BD472))</f>
        <v>#DIV/0!</v>
      </c>
      <c r="BE473" s="235" t="e">
        <f>BB473+SUM($BD$12:BD473)</f>
        <v>#DIV/0!</v>
      </c>
      <c r="BF473" s="292" t="e">
        <f>-MIN(BE473:$BE$501)-SUM(BF$12:$BF472)</f>
        <v>#DIV/0!</v>
      </c>
      <c r="BG473" s="235" t="e">
        <f t="shared" si="369"/>
        <v>#DIV/0!</v>
      </c>
    </row>
    <row r="474" spans="2:59">
      <c r="B474" s="246">
        <v>461</v>
      </c>
      <c r="C474" s="241">
        <f t="shared" si="368"/>
        <v>56709</v>
      </c>
      <c r="D474" s="229">
        <f t="shared" si="370"/>
        <v>4</v>
      </c>
      <c r="E474" s="230" t="str">
        <f t="shared" si="371"/>
        <v>-</v>
      </c>
      <c r="F474" s="231">
        <f t="shared" si="372"/>
        <v>0</v>
      </c>
      <c r="G474" s="231">
        <f t="shared" si="373"/>
        <v>0</v>
      </c>
      <c r="H474" s="231">
        <f t="shared" si="374"/>
        <v>0</v>
      </c>
      <c r="I474" s="268">
        <f t="shared" si="359"/>
        <v>0</v>
      </c>
      <c r="J474" s="269">
        <f t="shared" si="375"/>
        <v>0</v>
      </c>
      <c r="K474" s="269">
        <f t="shared" si="376"/>
        <v>0</v>
      </c>
      <c r="L474" s="269">
        <f t="shared" si="360"/>
        <v>0</v>
      </c>
      <c r="M474" s="269">
        <f t="shared" si="361"/>
        <v>0</v>
      </c>
      <c r="N474" s="233">
        <f>VLOOKUP(B474,Dados!$L$86:$P$90,5)</f>
        <v>0</v>
      </c>
      <c r="O474" s="270">
        <f t="shared" si="377"/>
        <v>0.99999999999999989</v>
      </c>
      <c r="P474" s="269">
        <f t="shared" si="378"/>
        <v>0</v>
      </c>
      <c r="Q474" s="269" t="e">
        <f t="shared" si="379"/>
        <v>#DIV/0!</v>
      </c>
      <c r="R474" s="269">
        <f t="shared" si="380"/>
        <v>0</v>
      </c>
      <c r="S474" s="269" t="e">
        <f t="shared" si="381"/>
        <v>#DIV/0!</v>
      </c>
      <c r="T474" s="269" t="e">
        <f t="shared" si="367"/>
        <v>#DIV/0!</v>
      </c>
      <c r="U474" s="234">
        <f t="shared" si="382"/>
        <v>0</v>
      </c>
      <c r="V474" s="232" t="e">
        <f t="shared" si="383"/>
        <v>#DIV/0!</v>
      </c>
      <c r="W474" s="269" t="e">
        <f t="shared" si="384"/>
        <v>#DIV/0!</v>
      </c>
      <c r="X474" s="235">
        <f t="shared" si="362"/>
        <v>0</v>
      </c>
      <c r="Y474" s="236">
        <f t="shared" si="385"/>
        <v>5</v>
      </c>
      <c r="Z474" s="236" t="e">
        <f t="shared" si="386"/>
        <v>#DIV/0!</v>
      </c>
      <c r="AA474" s="236">
        <f t="shared" si="387"/>
        <v>3</v>
      </c>
      <c r="AB474" s="236" t="e">
        <f t="shared" si="388"/>
        <v>#DIV/0!</v>
      </c>
      <c r="AC474" s="235">
        <f t="shared" si="389"/>
        <v>0</v>
      </c>
      <c r="AD474" s="235">
        <f t="shared" si="390"/>
        <v>0</v>
      </c>
      <c r="AE474" s="279">
        <f t="shared" si="391"/>
        <v>0</v>
      </c>
      <c r="AF474" s="232">
        <f t="shared" si="392"/>
        <v>0</v>
      </c>
      <c r="AG474" s="235">
        <f t="shared" si="393"/>
        <v>0</v>
      </c>
      <c r="AH474" s="269">
        <f t="shared" si="394"/>
        <v>0</v>
      </c>
      <c r="AI474" s="232">
        <f t="shared" si="395"/>
        <v>0</v>
      </c>
      <c r="AJ474" s="235">
        <f t="shared" si="396"/>
        <v>0</v>
      </c>
      <c r="AK474" s="269">
        <f t="shared" si="397"/>
        <v>0</v>
      </c>
      <c r="AL474" s="269">
        <f t="shared" si="363"/>
        <v>0</v>
      </c>
      <c r="AM474" s="281" t="e">
        <f>IF(B474&gt;=mpfo,pos*vvm*Dados!$E$122*(ntudv-SUM(U$301:$U475))-SUM($AM$13:AM473),0)</f>
        <v>#DIV/0!</v>
      </c>
      <c r="AN474" s="269" t="e">
        <f t="shared" si="398"/>
        <v>#DIV/0!</v>
      </c>
      <c r="AO474" s="232" t="e">
        <f t="shared" si="399"/>
        <v>#DIV/0!</v>
      </c>
      <c r="AP474" s="242" t="e">
        <f t="shared" si="400"/>
        <v>#DIV/0!</v>
      </c>
      <c r="AQ474" s="235" t="e">
        <f>IF(AP474+SUM($AQ$12:AQ473)&gt;=0,0,-AP474-SUM($AQ$12:AQ473))</f>
        <v>#DIV/0!</v>
      </c>
      <c r="AR474" s="235">
        <f>IF(SUM($N$13:N473)&gt;=pmo,IF(SUM(N473:$N$501)&gt;(1-pmo),B474,0),0)</f>
        <v>0</v>
      </c>
      <c r="AS474" s="235" t="e">
        <f>IF((SUM($U$13:$U473)/ntudv)&gt;=pmv,IF((SUM($U473:$U$501)/ntudv)&gt;(1-pmv),B474,0),0)</f>
        <v>#DIV/0!</v>
      </c>
      <c r="AT474" s="237" t="e">
        <f>IF(MAX(mmo,mmv)=mmo,IF(B474=AR474,(SUM(N$13:$N473)-pmo)/((1-VLOOKUP(MAX(mmo,mmv)-1,$B$13:$O$501,14))+(VLOOKUP(MAX(mmo,mmv)-1,$B$13:$O$501,14)-pmo)),N473/((1-VLOOKUP(MAX(mmo,mmv)-1,$B$13:$O$501,14)+(VLOOKUP(MAX(mmo,mmv)-1,$B$13:$O$501,14)-pmo)))),N473/(1-VLOOKUP(MAX(mmo,mmv)-2,$B$13:$O$501,14)))</f>
        <v>#DIV/0!</v>
      </c>
      <c r="AU474" s="101" t="e">
        <f t="shared" si="364"/>
        <v>#DIV/0!</v>
      </c>
      <c r="AV474" s="287" t="e">
        <f t="shared" si="365"/>
        <v>#DIV/0!</v>
      </c>
      <c r="AW474" s="235" t="e">
        <f t="shared" si="401"/>
        <v>#DIV/0!</v>
      </c>
      <c r="AX474" s="281">
        <f>IF(B474&gt;mpfo,0,IF(B474=mpfo,(vld-teo*(1+tcfo-incc)^(MAX(mmo,mmv)-mbfo))*-1,IF(SUM($N$13:N473)&gt;=pmo,IF(($V473/ntudv)&gt;=pmv,IF(B474=MAX(mmo,mmv),-teo*(1+tcfo-incc)^(B474-mbfo),0),0),0)))</f>
        <v>0</v>
      </c>
      <c r="AY474" s="292" t="e">
        <f t="shared" si="366"/>
        <v>#DIV/0!</v>
      </c>
      <c r="AZ474" s="235" t="e">
        <f t="shared" si="402"/>
        <v>#DIV/0!</v>
      </c>
      <c r="BA474" s="269" t="e">
        <f t="shared" si="403"/>
        <v>#DIV/0!</v>
      </c>
      <c r="BB474" s="292" t="e">
        <f t="shared" si="404"/>
        <v>#DIV/0!</v>
      </c>
      <c r="BC474" s="238" t="e">
        <f>IF(SUM($BC$13:BC473)&gt;0,0,IF(BB474&gt;0,B474,0))</f>
        <v>#DIV/0!</v>
      </c>
      <c r="BD474" s="292" t="e">
        <f>IF(BB474+SUM($BD$12:BD473)&gt;=0,0,-BB474-SUM($BD$12:BD473))</f>
        <v>#DIV/0!</v>
      </c>
      <c r="BE474" s="235" t="e">
        <f>BB474+SUM($BD$12:BD474)</f>
        <v>#DIV/0!</v>
      </c>
      <c r="BF474" s="292" t="e">
        <f>-MIN(BE474:$BE$501)-SUM(BF$12:$BF473)</f>
        <v>#DIV/0!</v>
      </c>
      <c r="BG474" s="235" t="e">
        <f t="shared" si="369"/>
        <v>#DIV/0!</v>
      </c>
    </row>
    <row r="475" spans="2:59">
      <c r="B475" s="120">
        <v>462</v>
      </c>
      <c r="C475" s="241">
        <f t="shared" si="368"/>
        <v>56739</v>
      </c>
      <c r="D475" s="229">
        <f t="shared" si="370"/>
        <v>5</v>
      </c>
      <c r="E475" s="230" t="str">
        <f t="shared" si="371"/>
        <v>-</v>
      </c>
      <c r="F475" s="231">
        <f t="shared" si="372"/>
        <v>0</v>
      </c>
      <c r="G475" s="231">
        <f t="shared" si="373"/>
        <v>0</v>
      </c>
      <c r="H475" s="231">
        <f t="shared" si="374"/>
        <v>0</v>
      </c>
      <c r="I475" s="268">
        <f t="shared" si="359"/>
        <v>0</v>
      </c>
      <c r="J475" s="269">
        <f t="shared" si="375"/>
        <v>0</v>
      </c>
      <c r="K475" s="269">
        <f t="shared" si="376"/>
        <v>0</v>
      </c>
      <c r="L475" s="269">
        <f t="shared" si="360"/>
        <v>0</v>
      </c>
      <c r="M475" s="269">
        <f t="shared" si="361"/>
        <v>0</v>
      </c>
      <c r="N475" s="233">
        <f>VLOOKUP(B475,Dados!$L$86:$P$90,5)</f>
        <v>0</v>
      </c>
      <c r="O475" s="270">
        <f t="shared" si="377"/>
        <v>0.99999999999999989</v>
      </c>
      <c r="P475" s="269">
        <f t="shared" si="378"/>
        <v>0</v>
      </c>
      <c r="Q475" s="269" t="e">
        <f t="shared" si="379"/>
        <v>#DIV/0!</v>
      </c>
      <c r="R475" s="269">
        <f t="shared" si="380"/>
        <v>0</v>
      </c>
      <c r="S475" s="269" t="e">
        <f t="shared" si="381"/>
        <v>#DIV/0!</v>
      </c>
      <c r="T475" s="269" t="e">
        <f t="shared" si="367"/>
        <v>#DIV/0!</v>
      </c>
      <c r="U475" s="234">
        <f t="shared" si="382"/>
        <v>0</v>
      </c>
      <c r="V475" s="232" t="e">
        <f t="shared" si="383"/>
        <v>#DIV/0!</v>
      </c>
      <c r="W475" s="269" t="e">
        <f t="shared" si="384"/>
        <v>#DIV/0!</v>
      </c>
      <c r="X475" s="235">
        <f t="shared" si="362"/>
        <v>0</v>
      </c>
      <c r="Y475" s="236">
        <f t="shared" si="385"/>
        <v>5</v>
      </c>
      <c r="Z475" s="236" t="e">
        <f t="shared" si="386"/>
        <v>#DIV/0!</v>
      </c>
      <c r="AA475" s="236">
        <f t="shared" si="387"/>
        <v>3</v>
      </c>
      <c r="AB475" s="236" t="e">
        <f t="shared" si="388"/>
        <v>#DIV/0!</v>
      </c>
      <c r="AC475" s="235">
        <f t="shared" si="389"/>
        <v>0</v>
      </c>
      <c r="AD475" s="235">
        <f t="shared" si="390"/>
        <v>0</v>
      </c>
      <c r="AE475" s="279">
        <f t="shared" si="391"/>
        <v>0</v>
      </c>
      <c r="AF475" s="232">
        <f t="shared" si="392"/>
        <v>0</v>
      </c>
      <c r="AG475" s="235">
        <f t="shared" si="393"/>
        <v>0</v>
      </c>
      <c r="AH475" s="269">
        <f t="shared" si="394"/>
        <v>0</v>
      </c>
      <c r="AI475" s="232">
        <f t="shared" si="395"/>
        <v>0</v>
      </c>
      <c r="AJ475" s="235">
        <f t="shared" si="396"/>
        <v>0</v>
      </c>
      <c r="AK475" s="269">
        <f t="shared" si="397"/>
        <v>0</v>
      </c>
      <c r="AL475" s="269">
        <f t="shared" si="363"/>
        <v>0</v>
      </c>
      <c r="AM475" s="281" t="e">
        <f>IF(B475&gt;=mpfo,pos*vvm*Dados!$E$122*(ntudv-SUM(U$301:$U476))-SUM($AM$13:AM474),0)</f>
        <v>#DIV/0!</v>
      </c>
      <c r="AN475" s="269" t="e">
        <f t="shared" si="398"/>
        <v>#DIV/0!</v>
      </c>
      <c r="AO475" s="232" t="e">
        <f t="shared" si="399"/>
        <v>#DIV/0!</v>
      </c>
      <c r="AP475" s="242" t="e">
        <f t="shared" si="400"/>
        <v>#DIV/0!</v>
      </c>
      <c r="AQ475" s="235" t="e">
        <f>IF(AP475+SUM($AQ$12:AQ474)&gt;=0,0,-AP475-SUM($AQ$12:AQ474))</f>
        <v>#DIV/0!</v>
      </c>
      <c r="AR475" s="235">
        <f>IF(SUM($N$13:N474)&gt;=pmo,IF(SUM(N474:$N$501)&gt;(1-pmo),B475,0),0)</f>
        <v>0</v>
      </c>
      <c r="AS475" s="235" t="e">
        <f>IF((SUM($U$13:$U474)/ntudv)&gt;=pmv,IF((SUM($U474:$U$501)/ntudv)&gt;(1-pmv),B475,0),0)</f>
        <v>#DIV/0!</v>
      </c>
      <c r="AT475" s="237" t="e">
        <f>IF(MAX(mmo,mmv)=mmo,IF(B475=AR475,(SUM(N$13:$N474)-pmo)/((1-VLOOKUP(MAX(mmo,mmv)-1,$B$13:$O$501,14))+(VLOOKUP(MAX(mmo,mmv)-1,$B$13:$O$501,14)-pmo)),N474/((1-VLOOKUP(MAX(mmo,mmv)-1,$B$13:$O$501,14)+(VLOOKUP(MAX(mmo,mmv)-1,$B$13:$O$501,14)-pmo)))),N474/(1-VLOOKUP(MAX(mmo,mmv)-2,$B$13:$O$501,14)))</f>
        <v>#DIV/0!</v>
      </c>
      <c r="AU475" s="101" t="e">
        <f t="shared" si="364"/>
        <v>#DIV/0!</v>
      </c>
      <c r="AV475" s="287" t="e">
        <f t="shared" si="365"/>
        <v>#DIV/0!</v>
      </c>
      <c r="AW475" s="235" t="e">
        <f t="shared" si="401"/>
        <v>#DIV/0!</v>
      </c>
      <c r="AX475" s="281">
        <f>IF(B475&gt;mpfo,0,IF(B475=mpfo,(vld-teo*(1+tcfo-incc)^(MAX(mmo,mmv)-mbfo))*-1,IF(SUM($N$13:N474)&gt;=pmo,IF(($V474/ntudv)&gt;=pmv,IF(B475=MAX(mmo,mmv),-teo*(1+tcfo-incc)^(B475-mbfo),0),0),0)))</f>
        <v>0</v>
      </c>
      <c r="AY475" s="292" t="e">
        <f t="shared" si="366"/>
        <v>#DIV/0!</v>
      </c>
      <c r="AZ475" s="235" t="e">
        <f t="shared" si="402"/>
        <v>#DIV/0!</v>
      </c>
      <c r="BA475" s="269" t="e">
        <f t="shared" si="403"/>
        <v>#DIV/0!</v>
      </c>
      <c r="BB475" s="292" t="e">
        <f t="shared" si="404"/>
        <v>#DIV/0!</v>
      </c>
      <c r="BC475" s="238" t="e">
        <f>IF(SUM($BC$13:BC474)&gt;0,0,IF(BB475&gt;0,B475,0))</f>
        <v>#DIV/0!</v>
      </c>
      <c r="BD475" s="292" t="e">
        <f>IF(BB475+SUM($BD$12:BD474)&gt;=0,0,-BB475-SUM($BD$12:BD474))</f>
        <v>#DIV/0!</v>
      </c>
      <c r="BE475" s="235" t="e">
        <f>BB475+SUM($BD$12:BD475)</f>
        <v>#DIV/0!</v>
      </c>
      <c r="BF475" s="292" t="e">
        <f>-MIN(BE475:$BE$501)-SUM(BF$12:$BF474)</f>
        <v>#DIV/0!</v>
      </c>
      <c r="BG475" s="235" t="e">
        <f t="shared" si="369"/>
        <v>#DIV/0!</v>
      </c>
    </row>
    <row r="476" spans="2:59">
      <c r="B476" s="246">
        <v>463</v>
      </c>
      <c r="C476" s="241">
        <f t="shared" si="368"/>
        <v>56770</v>
      </c>
      <c r="D476" s="229">
        <f t="shared" si="370"/>
        <v>6</v>
      </c>
      <c r="E476" s="230" t="str">
        <f t="shared" si="371"/>
        <v>-</v>
      </c>
      <c r="F476" s="231">
        <f t="shared" si="372"/>
        <v>0</v>
      </c>
      <c r="G476" s="231">
        <f t="shared" si="373"/>
        <v>0</v>
      </c>
      <c r="H476" s="231">
        <f t="shared" si="374"/>
        <v>0</v>
      </c>
      <c r="I476" s="268">
        <f t="shared" si="359"/>
        <v>0</v>
      </c>
      <c r="J476" s="269">
        <f t="shared" si="375"/>
        <v>0</v>
      </c>
      <c r="K476" s="269">
        <f t="shared" si="376"/>
        <v>0</v>
      </c>
      <c r="L476" s="269">
        <f t="shared" si="360"/>
        <v>0</v>
      </c>
      <c r="M476" s="269">
        <f t="shared" si="361"/>
        <v>0</v>
      </c>
      <c r="N476" s="233">
        <f>VLOOKUP(B476,Dados!$L$86:$P$90,5)</f>
        <v>0</v>
      </c>
      <c r="O476" s="270">
        <f t="shared" si="377"/>
        <v>0.99999999999999989</v>
      </c>
      <c r="P476" s="269">
        <f t="shared" si="378"/>
        <v>0</v>
      </c>
      <c r="Q476" s="269" t="e">
        <f t="shared" si="379"/>
        <v>#DIV/0!</v>
      </c>
      <c r="R476" s="269">
        <f t="shared" si="380"/>
        <v>0</v>
      </c>
      <c r="S476" s="269" t="e">
        <f t="shared" si="381"/>
        <v>#DIV/0!</v>
      </c>
      <c r="T476" s="269" t="e">
        <f t="shared" si="367"/>
        <v>#DIV/0!</v>
      </c>
      <c r="U476" s="234">
        <f t="shared" si="382"/>
        <v>0</v>
      </c>
      <c r="V476" s="232" t="e">
        <f t="shared" si="383"/>
        <v>#DIV/0!</v>
      </c>
      <c r="W476" s="269" t="e">
        <f t="shared" si="384"/>
        <v>#DIV/0!</v>
      </c>
      <c r="X476" s="235">
        <f t="shared" si="362"/>
        <v>0</v>
      </c>
      <c r="Y476" s="236">
        <f t="shared" si="385"/>
        <v>5</v>
      </c>
      <c r="Z476" s="236" t="e">
        <f t="shared" si="386"/>
        <v>#DIV/0!</v>
      </c>
      <c r="AA476" s="236">
        <f t="shared" si="387"/>
        <v>3</v>
      </c>
      <c r="AB476" s="236" t="e">
        <f t="shared" si="388"/>
        <v>#DIV/0!</v>
      </c>
      <c r="AC476" s="235">
        <f t="shared" si="389"/>
        <v>0</v>
      </c>
      <c r="AD476" s="235">
        <f t="shared" si="390"/>
        <v>0</v>
      </c>
      <c r="AE476" s="279">
        <f t="shared" si="391"/>
        <v>0</v>
      </c>
      <c r="AF476" s="232">
        <f t="shared" si="392"/>
        <v>1</v>
      </c>
      <c r="AG476" s="235">
        <f t="shared" si="393"/>
        <v>0</v>
      </c>
      <c r="AH476" s="269">
        <f t="shared" si="394"/>
        <v>0</v>
      </c>
      <c r="AI476" s="232">
        <f t="shared" si="395"/>
        <v>0</v>
      </c>
      <c r="AJ476" s="235">
        <f t="shared" si="396"/>
        <v>0</v>
      </c>
      <c r="AK476" s="269">
        <f t="shared" si="397"/>
        <v>0</v>
      </c>
      <c r="AL476" s="269">
        <f t="shared" si="363"/>
        <v>0</v>
      </c>
      <c r="AM476" s="281" t="e">
        <f>IF(B476&gt;=mpfo,pos*vvm*Dados!$E$122*(ntudv-SUM(U$301:$U477))-SUM($AM$13:AM475),0)</f>
        <v>#DIV/0!</v>
      </c>
      <c r="AN476" s="269" t="e">
        <f t="shared" si="398"/>
        <v>#DIV/0!</v>
      </c>
      <c r="AO476" s="232" t="e">
        <f t="shared" si="399"/>
        <v>#DIV/0!</v>
      </c>
      <c r="AP476" s="242" t="e">
        <f t="shared" si="400"/>
        <v>#DIV/0!</v>
      </c>
      <c r="AQ476" s="235" t="e">
        <f>IF(AP476+SUM($AQ$12:AQ475)&gt;=0,0,-AP476-SUM($AQ$12:AQ475))</f>
        <v>#DIV/0!</v>
      </c>
      <c r="AR476" s="235">
        <f>IF(SUM($N$13:N475)&gt;=pmo,IF(SUM(N475:$N$501)&gt;(1-pmo),B476,0),0)</f>
        <v>0</v>
      </c>
      <c r="AS476" s="235" t="e">
        <f>IF((SUM($U$13:$U475)/ntudv)&gt;=pmv,IF((SUM($U475:$U$501)/ntudv)&gt;(1-pmv),B476,0),0)</f>
        <v>#DIV/0!</v>
      </c>
      <c r="AT476" s="237" t="e">
        <f>IF(MAX(mmo,mmv)=mmo,IF(B476=AR476,(SUM(N$13:$N475)-pmo)/((1-VLOOKUP(MAX(mmo,mmv)-1,$B$13:$O$501,14))+(VLOOKUP(MAX(mmo,mmv)-1,$B$13:$O$501,14)-pmo)),N475/((1-VLOOKUP(MAX(mmo,mmv)-1,$B$13:$O$501,14)+(VLOOKUP(MAX(mmo,mmv)-1,$B$13:$O$501,14)-pmo)))),N475/(1-VLOOKUP(MAX(mmo,mmv)-2,$B$13:$O$501,14)))</f>
        <v>#DIV/0!</v>
      </c>
      <c r="AU476" s="101" t="e">
        <f t="shared" si="364"/>
        <v>#DIV/0!</v>
      </c>
      <c r="AV476" s="287" t="e">
        <f t="shared" si="365"/>
        <v>#DIV/0!</v>
      </c>
      <c r="AW476" s="235" t="e">
        <f t="shared" si="401"/>
        <v>#DIV/0!</v>
      </c>
      <c r="AX476" s="281">
        <f>IF(B476&gt;mpfo,0,IF(B476=mpfo,(vld-teo*(1+tcfo-incc)^(MAX(mmo,mmv)-mbfo))*-1,IF(SUM($N$13:N475)&gt;=pmo,IF(($V475/ntudv)&gt;=pmv,IF(B476=MAX(mmo,mmv),-teo*(1+tcfo-incc)^(B476-mbfo),0),0),0)))</f>
        <v>0</v>
      </c>
      <c r="AY476" s="292" t="e">
        <f t="shared" si="366"/>
        <v>#DIV/0!</v>
      </c>
      <c r="AZ476" s="235" t="e">
        <f t="shared" si="402"/>
        <v>#DIV/0!</v>
      </c>
      <c r="BA476" s="269" t="e">
        <f t="shared" si="403"/>
        <v>#DIV/0!</v>
      </c>
      <c r="BB476" s="292" t="e">
        <f t="shared" si="404"/>
        <v>#DIV/0!</v>
      </c>
      <c r="BC476" s="238" t="e">
        <f>IF(SUM($BC$13:BC475)&gt;0,0,IF(BB476&gt;0,B476,0))</f>
        <v>#DIV/0!</v>
      </c>
      <c r="BD476" s="292" t="e">
        <f>IF(BB476+SUM($BD$12:BD475)&gt;=0,0,-BB476-SUM($BD$12:BD475))</f>
        <v>#DIV/0!</v>
      </c>
      <c r="BE476" s="235" t="e">
        <f>BB476+SUM($BD$12:BD476)</f>
        <v>#DIV/0!</v>
      </c>
      <c r="BF476" s="292" t="e">
        <f>-MIN(BE476:$BE$501)-SUM(BF$12:$BF475)</f>
        <v>#DIV/0!</v>
      </c>
      <c r="BG476" s="235" t="e">
        <f t="shared" si="369"/>
        <v>#DIV/0!</v>
      </c>
    </row>
    <row r="477" spans="2:59">
      <c r="B477" s="120">
        <v>464</v>
      </c>
      <c r="C477" s="241">
        <f t="shared" si="368"/>
        <v>56800</v>
      </c>
      <c r="D477" s="229">
        <f t="shared" si="370"/>
        <v>7</v>
      </c>
      <c r="E477" s="230" t="str">
        <f t="shared" si="371"/>
        <v>-</v>
      </c>
      <c r="F477" s="231">
        <f t="shared" si="372"/>
        <v>0</v>
      </c>
      <c r="G477" s="231">
        <f t="shared" si="373"/>
        <v>0</v>
      </c>
      <c r="H477" s="231">
        <f t="shared" si="374"/>
        <v>0</v>
      </c>
      <c r="I477" s="268">
        <f t="shared" si="359"/>
        <v>0</v>
      </c>
      <c r="J477" s="269">
        <f t="shared" si="375"/>
        <v>0</v>
      </c>
      <c r="K477" s="269">
        <f t="shared" si="376"/>
        <v>0</v>
      </c>
      <c r="L477" s="269">
        <f t="shared" si="360"/>
        <v>0</v>
      </c>
      <c r="M477" s="269">
        <f t="shared" si="361"/>
        <v>0</v>
      </c>
      <c r="N477" s="233">
        <f>VLOOKUP(B477,Dados!$L$86:$P$90,5)</f>
        <v>0</v>
      </c>
      <c r="O477" s="270">
        <f t="shared" si="377"/>
        <v>0.99999999999999989</v>
      </c>
      <c r="P477" s="269">
        <f t="shared" si="378"/>
        <v>0</v>
      </c>
      <c r="Q477" s="269" t="e">
        <f t="shared" si="379"/>
        <v>#DIV/0!</v>
      </c>
      <c r="R477" s="269">
        <f t="shared" si="380"/>
        <v>0</v>
      </c>
      <c r="S477" s="269" t="e">
        <f t="shared" si="381"/>
        <v>#DIV/0!</v>
      </c>
      <c r="T477" s="269" t="e">
        <f t="shared" si="367"/>
        <v>#DIV/0!</v>
      </c>
      <c r="U477" s="234">
        <f t="shared" si="382"/>
        <v>0</v>
      </c>
      <c r="V477" s="232" t="e">
        <f t="shared" si="383"/>
        <v>#DIV/0!</v>
      </c>
      <c r="W477" s="269" t="e">
        <f t="shared" si="384"/>
        <v>#DIV/0!</v>
      </c>
      <c r="X477" s="235">
        <f t="shared" si="362"/>
        <v>0</v>
      </c>
      <c r="Y477" s="236">
        <f t="shared" si="385"/>
        <v>5</v>
      </c>
      <c r="Z477" s="236" t="e">
        <f t="shared" si="386"/>
        <v>#DIV/0!</v>
      </c>
      <c r="AA477" s="236">
        <f t="shared" si="387"/>
        <v>3</v>
      </c>
      <c r="AB477" s="236" t="e">
        <f t="shared" si="388"/>
        <v>#DIV/0!</v>
      </c>
      <c r="AC477" s="235">
        <f t="shared" si="389"/>
        <v>0</v>
      </c>
      <c r="AD477" s="235">
        <f t="shared" si="390"/>
        <v>0</v>
      </c>
      <c r="AE477" s="279">
        <f t="shared" si="391"/>
        <v>0</v>
      </c>
      <c r="AF477" s="232">
        <f t="shared" si="392"/>
        <v>0</v>
      </c>
      <c r="AG477" s="235">
        <f t="shared" si="393"/>
        <v>0</v>
      </c>
      <c r="AH477" s="269">
        <f t="shared" si="394"/>
        <v>0</v>
      </c>
      <c r="AI477" s="232">
        <f t="shared" si="395"/>
        <v>0</v>
      </c>
      <c r="AJ477" s="235">
        <f t="shared" si="396"/>
        <v>0</v>
      </c>
      <c r="AK477" s="269">
        <f t="shared" si="397"/>
        <v>0</v>
      </c>
      <c r="AL477" s="269">
        <f t="shared" si="363"/>
        <v>0</v>
      </c>
      <c r="AM477" s="281" t="e">
        <f>IF(B477&gt;=mpfo,pos*vvm*Dados!$E$122*(ntudv-SUM(U$301:$U478))-SUM($AM$13:AM476),0)</f>
        <v>#DIV/0!</v>
      </c>
      <c r="AN477" s="269" t="e">
        <f t="shared" si="398"/>
        <v>#DIV/0!</v>
      </c>
      <c r="AO477" s="232" t="e">
        <f t="shared" si="399"/>
        <v>#DIV/0!</v>
      </c>
      <c r="AP477" s="242" t="e">
        <f t="shared" si="400"/>
        <v>#DIV/0!</v>
      </c>
      <c r="AQ477" s="235" t="e">
        <f>IF(AP477+SUM($AQ$12:AQ476)&gt;=0,0,-AP477-SUM($AQ$12:AQ476))</f>
        <v>#DIV/0!</v>
      </c>
      <c r="AR477" s="235">
        <f>IF(SUM($N$13:N476)&gt;=pmo,IF(SUM(N476:$N$501)&gt;(1-pmo),B477,0),0)</f>
        <v>0</v>
      </c>
      <c r="AS477" s="235" t="e">
        <f>IF((SUM($U$13:$U476)/ntudv)&gt;=pmv,IF((SUM($U476:$U$501)/ntudv)&gt;(1-pmv),B477,0),0)</f>
        <v>#DIV/0!</v>
      </c>
      <c r="AT477" s="237" t="e">
        <f>IF(MAX(mmo,mmv)=mmo,IF(B477=AR477,(SUM(N$13:$N476)-pmo)/((1-VLOOKUP(MAX(mmo,mmv)-1,$B$13:$O$501,14))+(VLOOKUP(MAX(mmo,mmv)-1,$B$13:$O$501,14)-pmo)),N476/((1-VLOOKUP(MAX(mmo,mmv)-1,$B$13:$O$501,14)+(VLOOKUP(MAX(mmo,mmv)-1,$B$13:$O$501,14)-pmo)))),N476/(1-VLOOKUP(MAX(mmo,mmv)-2,$B$13:$O$501,14)))</f>
        <v>#DIV/0!</v>
      </c>
      <c r="AU477" s="101" t="e">
        <f t="shared" si="364"/>
        <v>#DIV/0!</v>
      </c>
      <c r="AV477" s="287" t="e">
        <f t="shared" si="365"/>
        <v>#DIV/0!</v>
      </c>
      <c r="AW477" s="235" t="e">
        <f t="shared" si="401"/>
        <v>#DIV/0!</v>
      </c>
      <c r="AX477" s="281">
        <f>IF(B477&gt;mpfo,0,IF(B477=mpfo,(vld-teo*(1+tcfo-incc)^(MAX(mmo,mmv)-mbfo))*-1,IF(SUM($N$13:N476)&gt;=pmo,IF(($V476/ntudv)&gt;=pmv,IF(B477=MAX(mmo,mmv),-teo*(1+tcfo-incc)^(B477-mbfo),0),0),0)))</f>
        <v>0</v>
      </c>
      <c r="AY477" s="292" t="e">
        <f t="shared" si="366"/>
        <v>#DIV/0!</v>
      </c>
      <c r="AZ477" s="235" t="e">
        <f t="shared" si="402"/>
        <v>#DIV/0!</v>
      </c>
      <c r="BA477" s="269" t="e">
        <f t="shared" si="403"/>
        <v>#DIV/0!</v>
      </c>
      <c r="BB477" s="292" t="e">
        <f t="shared" si="404"/>
        <v>#DIV/0!</v>
      </c>
      <c r="BC477" s="238" t="e">
        <f>IF(SUM($BC$13:BC476)&gt;0,0,IF(BB477&gt;0,B477,0))</f>
        <v>#DIV/0!</v>
      </c>
      <c r="BD477" s="292" t="e">
        <f>IF(BB477+SUM($BD$12:BD476)&gt;=0,0,-BB477-SUM($BD$12:BD476))</f>
        <v>#DIV/0!</v>
      </c>
      <c r="BE477" s="235" t="e">
        <f>BB477+SUM($BD$12:BD477)</f>
        <v>#DIV/0!</v>
      </c>
      <c r="BF477" s="292" t="e">
        <f>-MIN(BE477:$BE$501)-SUM(BF$12:$BF476)</f>
        <v>#DIV/0!</v>
      </c>
      <c r="BG477" s="235" t="e">
        <f t="shared" si="369"/>
        <v>#DIV/0!</v>
      </c>
    </row>
    <row r="478" spans="2:59">
      <c r="B478" s="246">
        <v>465</v>
      </c>
      <c r="C478" s="241">
        <f t="shared" si="368"/>
        <v>56831</v>
      </c>
      <c r="D478" s="229">
        <f t="shared" si="370"/>
        <v>8</v>
      </c>
      <c r="E478" s="230" t="str">
        <f t="shared" si="371"/>
        <v>-</v>
      </c>
      <c r="F478" s="231">
        <f t="shared" si="372"/>
        <v>0</v>
      </c>
      <c r="G478" s="231">
        <f t="shared" si="373"/>
        <v>0</v>
      </c>
      <c r="H478" s="231">
        <f t="shared" si="374"/>
        <v>0</v>
      </c>
      <c r="I478" s="268">
        <f t="shared" si="359"/>
        <v>0</v>
      </c>
      <c r="J478" s="269">
        <f t="shared" si="375"/>
        <v>0</v>
      </c>
      <c r="K478" s="269">
        <f t="shared" si="376"/>
        <v>0</v>
      </c>
      <c r="L478" s="269">
        <f t="shared" si="360"/>
        <v>0</v>
      </c>
      <c r="M478" s="269">
        <f t="shared" si="361"/>
        <v>0</v>
      </c>
      <c r="N478" s="233">
        <f>VLOOKUP(B478,Dados!$L$86:$P$90,5)</f>
        <v>0</v>
      </c>
      <c r="O478" s="270">
        <f t="shared" si="377"/>
        <v>0.99999999999999989</v>
      </c>
      <c r="P478" s="269">
        <f t="shared" si="378"/>
        <v>0</v>
      </c>
      <c r="Q478" s="269" t="e">
        <f t="shared" si="379"/>
        <v>#DIV/0!</v>
      </c>
      <c r="R478" s="269">
        <f t="shared" si="380"/>
        <v>0</v>
      </c>
      <c r="S478" s="269" t="e">
        <f t="shared" si="381"/>
        <v>#DIV/0!</v>
      </c>
      <c r="T478" s="269" t="e">
        <f t="shared" si="367"/>
        <v>#DIV/0!</v>
      </c>
      <c r="U478" s="234">
        <f t="shared" si="382"/>
        <v>0</v>
      </c>
      <c r="V478" s="232" t="e">
        <f t="shared" si="383"/>
        <v>#DIV/0!</v>
      </c>
      <c r="W478" s="269" t="e">
        <f t="shared" si="384"/>
        <v>#DIV/0!</v>
      </c>
      <c r="X478" s="235">
        <f t="shared" si="362"/>
        <v>0</v>
      </c>
      <c r="Y478" s="236">
        <f t="shared" si="385"/>
        <v>5</v>
      </c>
      <c r="Z478" s="236" t="e">
        <f t="shared" si="386"/>
        <v>#DIV/0!</v>
      </c>
      <c r="AA478" s="236">
        <f t="shared" si="387"/>
        <v>3</v>
      </c>
      <c r="AB478" s="236" t="e">
        <f t="shared" si="388"/>
        <v>#DIV/0!</v>
      </c>
      <c r="AC478" s="235">
        <f t="shared" si="389"/>
        <v>0</v>
      </c>
      <c r="AD478" s="235">
        <f t="shared" si="390"/>
        <v>0</v>
      </c>
      <c r="AE478" s="279">
        <f t="shared" si="391"/>
        <v>0</v>
      </c>
      <c r="AF478" s="232">
        <f t="shared" si="392"/>
        <v>0</v>
      </c>
      <c r="AG478" s="235">
        <f t="shared" si="393"/>
        <v>0</v>
      </c>
      <c r="AH478" s="269">
        <f t="shared" si="394"/>
        <v>0</v>
      </c>
      <c r="AI478" s="232">
        <f t="shared" si="395"/>
        <v>0</v>
      </c>
      <c r="AJ478" s="235">
        <f t="shared" si="396"/>
        <v>0</v>
      </c>
      <c r="AK478" s="269">
        <f t="shared" si="397"/>
        <v>0</v>
      </c>
      <c r="AL478" s="269">
        <f t="shared" si="363"/>
        <v>0</v>
      </c>
      <c r="AM478" s="281" t="e">
        <f>IF(B478&gt;=mpfo,pos*vvm*Dados!$E$122*(ntudv-SUM(U$301:$U479))-SUM($AM$13:AM477),0)</f>
        <v>#DIV/0!</v>
      </c>
      <c r="AN478" s="269" t="e">
        <f t="shared" si="398"/>
        <v>#DIV/0!</v>
      </c>
      <c r="AO478" s="232" t="e">
        <f t="shared" si="399"/>
        <v>#DIV/0!</v>
      </c>
      <c r="AP478" s="242" t="e">
        <f t="shared" si="400"/>
        <v>#DIV/0!</v>
      </c>
      <c r="AQ478" s="235" t="e">
        <f>IF(AP478+SUM($AQ$12:AQ477)&gt;=0,0,-AP478-SUM($AQ$12:AQ477))</f>
        <v>#DIV/0!</v>
      </c>
      <c r="AR478" s="235">
        <f>IF(SUM($N$13:N477)&gt;=pmo,IF(SUM(N477:$N$501)&gt;(1-pmo),B478,0),0)</f>
        <v>0</v>
      </c>
      <c r="AS478" s="235" t="e">
        <f>IF((SUM($U$13:$U477)/ntudv)&gt;=pmv,IF((SUM($U477:$U$501)/ntudv)&gt;(1-pmv),B478,0),0)</f>
        <v>#DIV/0!</v>
      </c>
      <c r="AT478" s="237" t="e">
        <f>IF(MAX(mmo,mmv)=mmo,IF(B478=AR478,(SUM(N$13:$N477)-pmo)/((1-VLOOKUP(MAX(mmo,mmv)-1,$B$13:$O$501,14))+(VLOOKUP(MAX(mmo,mmv)-1,$B$13:$O$501,14)-pmo)),N477/((1-VLOOKUP(MAX(mmo,mmv)-1,$B$13:$O$501,14)+(VLOOKUP(MAX(mmo,mmv)-1,$B$13:$O$501,14)-pmo)))),N477/(1-VLOOKUP(MAX(mmo,mmv)-2,$B$13:$O$501,14)))</f>
        <v>#DIV/0!</v>
      </c>
      <c r="AU478" s="101" t="e">
        <f t="shared" si="364"/>
        <v>#DIV/0!</v>
      </c>
      <c r="AV478" s="287" t="e">
        <f t="shared" si="365"/>
        <v>#DIV/0!</v>
      </c>
      <c r="AW478" s="235" t="e">
        <f t="shared" si="401"/>
        <v>#DIV/0!</v>
      </c>
      <c r="AX478" s="281">
        <f>IF(B478&gt;mpfo,0,IF(B478=mpfo,(vld-teo*(1+tcfo-incc)^(MAX(mmo,mmv)-mbfo))*-1,IF(SUM($N$13:N477)&gt;=pmo,IF(($V477/ntudv)&gt;=pmv,IF(B478=MAX(mmo,mmv),-teo*(1+tcfo-incc)^(B478-mbfo),0),0),0)))</f>
        <v>0</v>
      </c>
      <c r="AY478" s="292" t="e">
        <f t="shared" si="366"/>
        <v>#DIV/0!</v>
      </c>
      <c r="AZ478" s="235" t="e">
        <f t="shared" si="402"/>
        <v>#DIV/0!</v>
      </c>
      <c r="BA478" s="269" t="e">
        <f t="shared" si="403"/>
        <v>#DIV/0!</v>
      </c>
      <c r="BB478" s="292" t="e">
        <f t="shared" si="404"/>
        <v>#DIV/0!</v>
      </c>
      <c r="BC478" s="238" t="e">
        <f>IF(SUM($BC$13:BC477)&gt;0,0,IF(BB478&gt;0,B478,0))</f>
        <v>#DIV/0!</v>
      </c>
      <c r="BD478" s="292" t="e">
        <f>IF(BB478+SUM($BD$12:BD477)&gt;=0,0,-BB478-SUM($BD$12:BD477))</f>
        <v>#DIV/0!</v>
      </c>
      <c r="BE478" s="235" t="e">
        <f>BB478+SUM($BD$12:BD478)</f>
        <v>#DIV/0!</v>
      </c>
      <c r="BF478" s="292" t="e">
        <f>-MIN(BE478:$BE$501)-SUM(BF$12:$BF477)</f>
        <v>#DIV/0!</v>
      </c>
      <c r="BG478" s="235" t="e">
        <f t="shared" si="369"/>
        <v>#DIV/0!</v>
      </c>
    </row>
    <row r="479" spans="2:59">
      <c r="B479" s="120">
        <v>466</v>
      </c>
      <c r="C479" s="241">
        <f t="shared" si="368"/>
        <v>56862</v>
      </c>
      <c r="D479" s="229">
        <f t="shared" si="370"/>
        <v>9</v>
      </c>
      <c r="E479" s="230" t="str">
        <f t="shared" si="371"/>
        <v>-</v>
      </c>
      <c r="F479" s="231">
        <f t="shared" si="372"/>
        <v>0</v>
      </c>
      <c r="G479" s="231">
        <f t="shared" si="373"/>
        <v>0</v>
      </c>
      <c r="H479" s="231">
        <f t="shared" si="374"/>
        <v>0</v>
      </c>
      <c r="I479" s="268">
        <f t="shared" si="359"/>
        <v>0</v>
      </c>
      <c r="J479" s="269">
        <f t="shared" si="375"/>
        <v>0</v>
      </c>
      <c r="K479" s="269">
        <f t="shared" si="376"/>
        <v>0</v>
      </c>
      <c r="L479" s="269">
        <f t="shared" si="360"/>
        <v>0</v>
      </c>
      <c r="M479" s="269">
        <f t="shared" si="361"/>
        <v>0</v>
      </c>
      <c r="N479" s="233">
        <f>VLOOKUP(B479,Dados!$L$86:$P$90,5)</f>
        <v>0</v>
      </c>
      <c r="O479" s="270">
        <f t="shared" si="377"/>
        <v>0.99999999999999989</v>
      </c>
      <c r="P479" s="269">
        <f t="shared" si="378"/>
        <v>0</v>
      </c>
      <c r="Q479" s="269" t="e">
        <f t="shared" si="379"/>
        <v>#DIV/0!</v>
      </c>
      <c r="R479" s="269">
        <f t="shared" si="380"/>
        <v>0</v>
      </c>
      <c r="S479" s="269" t="e">
        <f t="shared" si="381"/>
        <v>#DIV/0!</v>
      </c>
      <c r="T479" s="269" t="e">
        <f t="shared" si="367"/>
        <v>#DIV/0!</v>
      </c>
      <c r="U479" s="234">
        <f t="shared" si="382"/>
        <v>0</v>
      </c>
      <c r="V479" s="232" t="e">
        <f t="shared" si="383"/>
        <v>#DIV/0!</v>
      </c>
      <c r="W479" s="269" t="e">
        <f t="shared" si="384"/>
        <v>#DIV/0!</v>
      </c>
      <c r="X479" s="235">
        <f t="shared" si="362"/>
        <v>0</v>
      </c>
      <c r="Y479" s="236">
        <f t="shared" si="385"/>
        <v>5</v>
      </c>
      <c r="Z479" s="236" t="e">
        <f t="shared" si="386"/>
        <v>#DIV/0!</v>
      </c>
      <c r="AA479" s="236">
        <f t="shared" si="387"/>
        <v>3</v>
      </c>
      <c r="AB479" s="236" t="e">
        <f t="shared" si="388"/>
        <v>#DIV/0!</v>
      </c>
      <c r="AC479" s="235">
        <f t="shared" si="389"/>
        <v>0</v>
      </c>
      <c r="AD479" s="235">
        <f t="shared" si="390"/>
        <v>0</v>
      </c>
      <c r="AE479" s="279">
        <f t="shared" si="391"/>
        <v>0</v>
      </c>
      <c r="AF479" s="232">
        <f t="shared" si="392"/>
        <v>0</v>
      </c>
      <c r="AG479" s="235">
        <f t="shared" si="393"/>
        <v>0</v>
      </c>
      <c r="AH479" s="269">
        <f t="shared" si="394"/>
        <v>0</v>
      </c>
      <c r="AI479" s="232">
        <f t="shared" si="395"/>
        <v>0</v>
      </c>
      <c r="AJ479" s="235">
        <f t="shared" si="396"/>
        <v>0</v>
      </c>
      <c r="AK479" s="269">
        <f t="shared" si="397"/>
        <v>0</v>
      </c>
      <c r="AL479" s="269">
        <f t="shared" si="363"/>
        <v>0</v>
      </c>
      <c r="AM479" s="281" t="e">
        <f>IF(B479&gt;=mpfo,pos*vvm*Dados!$E$122*(ntudv-SUM(U$301:$U480))-SUM($AM$13:AM478),0)</f>
        <v>#DIV/0!</v>
      </c>
      <c r="AN479" s="269" t="e">
        <f t="shared" si="398"/>
        <v>#DIV/0!</v>
      </c>
      <c r="AO479" s="232" t="e">
        <f t="shared" si="399"/>
        <v>#DIV/0!</v>
      </c>
      <c r="AP479" s="242" t="e">
        <f t="shared" si="400"/>
        <v>#DIV/0!</v>
      </c>
      <c r="AQ479" s="235" t="e">
        <f>IF(AP479+SUM($AQ$12:AQ478)&gt;=0,0,-AP479-SUM($AQ$12:AQ478))</f>
        <v>#DIV/0!</v>
      </c>
      <c r="AR479" s="235">
        <f>IF(SUM($N$13:N478)&gt;=pmo,IF(SUM(N478:$N$501)&gt;(1-pmo),B479,0),0)</f>
        <v>0</v>
      </c>
      <c r="AS479" s="235" t="e">
        <f>IF((SUM($U$13:$U478)/ntudv)&gt;=pmv,IF((SUM($U478:$U$501)/ntudv)&gt;(1-pmv),B479,0),0)</f>
        <v>#DIV/0!</v>
      </c>
      <c r="AT479" s="237" t="e">
        <f>IF(MAX(mmo,mmv)=mmo,IF(B479=AR479,(SUM(N$13:$N478)-pmo)/((1-VLOOKUP(MAX(mmo,mmv)-1,$B$13:$O$501,14))+(VLOOKUP(MAX(mmo,mmv)-1,$B$13:$O$501,14)-pmo)),N478/((1-VLOOKUP(MAX(mmo,mmv)-1,$B$13:$O$501,14)+(VLOOKUP(MAX(mmo,mmv)-1,$B$13:$O$501,14)-pmo)))),N478/(1-VLOOKUP(MAX(mmo,mmv)-2,$B$13:$O$501,14)))</f>
        <v>#DIV/0!</v>
      </c>
      <c r="AU479" s="101" t="e">
        <f t="shared" si="364"/>
        <v>#DIV/0!</v>
      </c>
      <c r="AV479" s="287" t="e">
        <f t="shared" si="365"/>
        <v>#DIV/0!</v>
      </c>
      <c r="AW479" s="235" t="e">
        <f t="shared" si="401"/>
        <v>#DIV/0!</v>
      </c>
      <c r="AX479" s="281">
        <f>IF(B479&gt;mpfo,0,IF(B479=mpfo,(vld-teo*(1+tcfo-incc)^(MAX(mmo,mmv)-mbfo))*-1,IF(SUM($N$13:N478)&gt;=pmo,IF(($V478/ntudv)&gt;=pmv,IF(B479=MAX(mmo,mmv),-teo*(1+tcfo-incc)^(B479-mbfo),0),0),0)))</f>
        <v>0</v>
      </c>
      <c r="AY479" s="292" t="e">
        <f t="shared" si="366"/>
        <v>#DIV/0!</v>
      </c>
      <c r="AZ479" s="235" t="e">
        <f t="shared" si="402"/>
        <v>#DIV/0!</v>
      </c>
      <c r="BA479" s="269" t="e">
        <f t="shared" si="403"/>
        <v>#DIV/0!</v>
      </c>
      <c r="BB479" s="292" t="e">
        <f t="shared" si="404"/>
        <v>#DIV/0!</v>
      </c>
      <c r="BC479" s="238" t="e">
        <f>IF(SUM($BC$13:BC478)&gt;0,0,IF(BB479&gt;0,B479,0))</f>
        <v>#DIV/0!</v>
      </c>
      <c r="BD479" s="292" t="e">
        <f>IF(BB479+SUM($BD$12:BD478)&gt;=0,0,-BB479-SUM($BD$12:BD478))</f>
        <v>#DIV/0!</v>
      </c>
      <c r="BE479" s="235" t="e">
        <f>BB479+SUM($BD$12:BD479)</f>
        <v>#DIV/0!</v>
      </c>
      <c r="BF479" s="292" t="e">
        <f>-MIN(BE479:$BE$501)-SUM(BF$12:$BF478)</f>
        <v>#DIV/0!</v>
      </c>
      <c r="BG479" s="235" t="e">
        <f t="shared" si="369"/>
        <v>#DIV/0!</v>
      </c>
    </row>
    <row r="480" spans="2:59">
      <c r="B480" s="246">
        <v>467</v>
      </c>
      <c r="C480" s="241">
        <f t="shared" si="368"/>
        <v>56892</v>
      </c>
      <c r="D480" s="229">
        <f t="shared" si="370"/>
        <v>10</v>
      </c>
      <c r="E480" s="230" t="str">
        <f t="shared" si="371"/>
        <v>-</v>
      </c>
      <c r="F480" s="231">
        <f t="shared" si="372"/>
        <v>0</v>
      </c>
      <c r="G480" s="231">
        <f t="shared" si="373"/>
        <v>0</v>
      </c>
      <c r="H480" s="231">
        <f t="shared" si="374"/>
        <v>0</v>
      </c>
      <c r="I480" s="268">
        <f t="shared" si="359"/>
        <v>0</v>
      </c>
      <c r="J480" s="269">
        <f t="shared" si="375"/>
        <v>0</v>
      </c>
      <c r="K480" s="269">
        <f t="shared" si="376"/>
        <v>0</v>
      </c>
      <c r="L480" s="269">
        <f t="shared" si="360"/>
        <v>0</v>
      </c>
      <c r="M480" s="269">
        <f t="shared" si="361"/>
        <v>0</v>
      </c>
      <c r="N480" s="233">
        <f>VLOOKUP(B480,Dados!$L$86:$P$90,5)</f>
        <v>0</v>
      </c>
      <c r="O480" s="270">
        <f t="shared" si="377"/>
        <v>0.99999999999999989</v>
      </c>
      <c r="P480" s="269">
        <f t="shared" si="378"/>
        <v>0</v>
      </c>
      <c r="Q480" s="269" t="e">
        <f t="shared" si="379"/>
        <v>#DIV/0!</v>
      </c>
      <c r="R480" s="269">
        <f t="shared" si="380"/>
        <v>0</v>
      </c>
      <c r="S480" s="269" t="e">
        <f t="shared" si="381"/>
        <v>#DIV/0!</v>
      </c>
      <c r="T480" s="269" t="e">
        <f t="shared" si="367"/>
        <v>#DIV/0!</v>
      </c>
      <c r="U480" s="234">
        <f t="shared" si="382"/>
        <v>0</v>
      </c>
      <c r="V480" s="232" t="e">
        <f t="shared" si="383"/>
        <v>#DIV/0!</v>
      </c>
      <c r="W480" s="269" t="e">
        <f t="shared" si="384"/>
        <v>#DIV/0!</v>
      </c>
      <c r="X480" s="235">
        <f t="shared" si="362"/>
        <v>0</v>
      </c>
      <c r="Y480" s="236">
        <f t="shared" si="385"/>
        <v>5</v>
      </c>
      <c r="Z480" s="236" t="e">
        <f t="shared" si="386"/>
        <v>#DIV/0!</v>
      </c>
      <c r="AA480" s="236">
        <f t="shared" si="387"/>
        <v>3</v>
      </c>
      <c r="AB480" s="236" t="e">
        <f t="shared" si="388"/>
        <v>#DIV/0!</v>
      </c>
      <c r="AC480" s="235">
        <f t="shared" si="389"/>
        <v>0</v>
      </c>
      <c r="AD480" s="235">
        <f t="shared" si="390"/>
        <v>0</v>
      </c>
      <c r="AE480" s="279">
        <f t="shared" si="391"/>
        <v>0</v>
      </c>
      <c r="AF480" s="232">
        <f t="shared" si="392"/>
        <v>0</v>
      </c>
      <c r="AG480" s="235">
        <f t="shared" si="393"/>
        <v>0</v>
      </c>
      <c r="AH480" s="269">
        <f t="shared" si="394"/>
        <v>0</v>
      </c>
      <c r="AI480" s="232">
        <f t="shared" si="395"/>
        <v>0</v>
      </c>
      <c r="AJ480" s="235">
        <f t="shared" si="396"/>
        <v>0</v>
      </c>
      <c r="AK480" s="269">
        <f t="shared" si="397"/>
        <v>0</v>
      </c>
      <c r="AL480" s="269">
        <f t="shared" si="363"/>
        <v>0</v>
      </c>
      <c r="AM480" s="281" t="e">
        <f>IF(B480&gt;=mpfo,pos*vvm*Dados!$E$122*(ntudv-SUM(U$301:$U481))-SUM($AM$13:AM479),0)</f>
        <v>#DIV/0!</v>
      </c>
      <c r="AN480" s="269" t="e">
        <f t="shared" si="398"/>
        <v>#DIV/0!</v>
      </c>
      <c r="AO480" s="232" t="e">
        <f t="shared" si="399"/>
        <v>#DIV/0!</v>
      </c>
      <c r="AP480" s="242" t="e">
        <f t="shared" si="400"/>
        <v>#DIV/0!</v>
      </c>
      <c r="AQ480" s="235" t="e">
        <f>IF(AP480+SUM($AQ$12:AQ479)&gt;=0,0,-AP480-SUM($AQ$12:AQ479))</f>
        <v>#DIV/0!</v>
      </c>
      <c r="AR480" s="235">
        <f>IF(SUM($N$13:N479)&gt;=pmo,IF(SUM(N479:$N$501)&gt;(1-pmo),B480,0),0)</f>
        <v>0</v>
      </c>
      <c r="AS480" s="235" t="e">
        <f>IF((SUM($U$13:$U479)/ntudv)&gt;=pmv,IF((SUM($U479:$U$501)/ntudv)&gt;(1-pmv),B480,0),0)</f>
        <v>#DIV/0!</v>
      </c>
      <c r="AT480" s="237" t="e">
        <f>IF(MAX(mmo,mmv)=mmo,IF(B480=AR480,(SUM(N$13:$N479)-pmo)/((1-VLOOKUP(MAX(mmo,mmv)-1,$B$13:$O$501,14))+(VLOOKUP(MAX(mmo,mmv)-1,$B$13:$O$501,14)-pmo)),N479/((1-VLOOKUP(MAX(mmo,mmv)-1,$B$13:$O$501,14)+(VLOOKUP(MAX(mmo,mmv)-1,$B$13:$O$501,14)-pmo)))),N479/(1-VLOOKUP(MAX(mmo,mmv)-2,$B$13:$O$501,14)))</f>
        <v>#DIV/0!</v>
      </c>
      <c r="AU480" s="101" t="e">
        <f t="shared" si="364"/>
        <v>#DIV/0!</v>
      </c>
      <c r="AV480" s="287" t="e">
        <f t="shared" si="365"/>
        <v>#DIV/0!</v>
      </c>
      <c r="AW480" s="235" t="e">
        <f t="shared" si="401"/>
        <v>#DIV/0!</v>
      </c>
      <c r="AX480" s="281">
        <f>IF(B480&gt;mpfo,0,IF(B480=mpfo,(vld-teo*(1+tcfo-incc)^(MAX(mmo,mmv)-mbfo))*-1,IF(SUM($N$13:N479)&gt;=pmo,IF(($V479/ntudv)&gt;=pmv,IF(B480=MAX(mmo,mmv),-teo*(1+tcfo-incc)^(B480-mbfo),0),0),0)))</f>
        <v>0</v>
      </c>
      <c r="AY480" s="292" t="e">
        <f t="shared" si="366"/>
        <v>#DIV/0!</v>
      </c>
      <c r="AZ480" s="235" t="e">
        <f t="shared" si="402"/>
        <v>#DIV/0!</v>
      </c>
      <c r="BA480" s="269" t="e">
        <f t="shared" si="403"/>
        <v>#DIV/0!</v>
      </c>
      <c r="BB480" s="292" t="e">
        <f t="shared" si="404"/>
        <v>#DIV/0!</v>
      </c>
      <c r="BC480" s="238" t="e">
        <f>IF(SUM($BC$13:BC479)&gt;0,0,IF(BB480&gt;0,B480,0))</f>
        <v>#DIV/0!</v>
      </c>
      <c r="BD480" s="292" t="e">
        <f>IF(BB480+SUM($BD$12:BD479)&gt;=0,0,-BB480-SUM($BD$12:BD479))</f>
        <v>#DIV/0!</v>
      </c>
      <c r="BE480" s="235" t="e">
        <f>BB480+SUM($BD$12:BD480)</f>
        <v>#DIV/0!</v>
      </c>
      <c r="BF480" s="292" t="e">
        <f>-MIN(BE480:$BE$501)-SUM(BF$12:$BF479)</f>
        <v>#DIV/0!</v>
      </c>
      <c r="BG480" s="235" t="e">
        <f t="shared" si="369"/>
        <v>#DIV/0!</v>
      </c>
    </row>
    <row r="481" spans="2:59">
      <c r="B481" s="120">
        <v>468</v>
      </c>
      <c r="C481" s="241">
        <f t="shared" si="368"/>
        <v>56923</v>
      </c>
      <c r="D481" s="229">
        <f t="shared" si="370"/>
        <v>11</v>
      </c>
      <c r="E481" s="230" t="str">
        <f t="shared" si="371"/>
        <v>-</v>
      </c>
      <c r="F481" s="231">
        <f t="shared" si="372"/>
        <v>0</v>
      </c>
      <c r="G481" s="231">
        <f t="shared" si="373"/>
        <v>0</v>
      </c>
      <c r="H481" s="231">
        <f t="shared" si="374"/>
        <v>0</v>
      </c>
      <c r="I481" s="268">
        <f t="shared" si="359"/>
        <v>0</v>
      </c>
      <c r="J481" s="269">
        <f t="shared" si="375"/>
        <v>0</v>
      </c>
      <c r="K481" s="269">
        <f t="shared" si="376"/>
        <v>0</v>
      </c>
      <c r="L481" s="269">
        <f t="shared" si="360"/>
        <v>0</v>
      </c>
      <c r="M481" s="269">
        <f t="shared" si="361"/>
        <v>0</v>
      </c>
      <c r="N481" s="233">
        <f>VLOOKUP(B481,Dados!$L$86:$P$90,5)</f>
        <v>0</v>
      </c>
      <c r="O481" s="270">
        <f t="shared" si="377"/>
        <v>0.99999999999999989</v>
      </c>
      <c r="P481" s="269">
        <f t="shared" si="378"/>
        <v>0</v>
      </c>
      <c r="Q481" s="269" t="e">
        <f t="shared" si="379"/>
        <v>#DIV/0!</v>
      </c>
      <c r="R481" s="269">
        <f t="shared" si="380"/>
        <v>0</v>
      </c>
      <c r="S481" s="269" t="e">
        <f t="shared" si="381"/>
        <v>#DIV/0!</v>
      </c>
      <c r="T481" s="269" t="e">
        <f t="shared" si="367"/>
        <v>#DIV/0!</v>
      </c>
      <c r="U481" s="234">
        <f t="shared" si="382"/>
        <v>0</v>
      </c>
      <c r="V481" s="232" t="e">
        <f t="shared" si="383"/>
        <v>#DIV/0!</v>
      </c>
      <c r="W481" s="269" t="e">
        <f t="shared" si="384"/>
        <v>#DIV/0!</v>
      </c>
      <c r="X481" s="235">
        <f t="shared" si="362"/>
        <v>0</v>
      </c>
      <c r="Y481" s="236">
        <f t="shared" si="385"/>
        <v>5</v>
      </c>
      <c r="Z481" s="236" t="e">
        <f t="shared" si="386"/>
        <v>#DIV/0!</v>
      </c>
      <c r="AA481" s="236">
        <f t="shared" si="387"/>
        <v>3</v>
      </c>
      <c r="AB481" s="236" t="e">
        <f t="shared" si="388"/>
        <v>#DIV/0!</v>
      </c>
      <c r="AC481" s="235">
        <f t="shared" si="389"/>
        <v>0</v>
      </c>
      <c r="AD481" s="235">
        <f t="shared" si="390"/>
        <v>0</v>
      </c>
      <c r="AE481" s="279">
        <f t="shared" si="391"/>
        <v>0</v>
      </c>
      <c r="AF481" s="232">
        <f t="shared" si="392"/>
        <v>0</v>
      </c>
      <c r="AG481" s="235">
        <f t="shared" si="393"/>
        <v>0</v>
      </c>
      <c r="AH481" s="269">
        <f t="shared" si="394"/>
        <v>0</v>
      </c>
      <c r="AI481" s="232">
        <f t="shared" si="395"/>
        <v>0</v>
      </c>
      <c r="AJ481" s="235">
        <f t="shared" si="396"/>
        <v>0</v>
      </c>
      <c r="AK481" s="269">
        <f t="shared" si="397"/>
        <v>0</v>
      </c>
      <c r="AL481" s="269">
        <f t="shared" si="363"/>
        <v>0</v>
      </c>
      <c r="AM481" s="281" t="e">
        <f>IF(B481&gt;=mpfo,pos*vvm*Dados!$E$122*(ntudv-SUM(U$301:$U482))-SUM($AM$13:AM480),0)</f>
        <v>#DIV/0!</v>
      </c>
      <c r="AN481" s="269" t="e">
        <f t="shared" si="398"/>
        <v>#DIV/0!</v>
      </c>
      <c r="AO481" s="232" t="e">
        <f t="shared" si="399"/>
        <v>#DIV/0!</v>
      </c>
      <c r="AP481" s="242" t="e">
        <f t="shared" si="400"/>
        <v>#DIV/0!</v>
      </c>
      <c r="AQ481" s="235" t="e">
        <f>IF(AP481+SUM($AQ$12:AQ480)&gt;=0,0,-AP481-SUM($AQ$12:AQ480))</f>
        <v>#DIV/0!</v>
      </c>
      <c r="AR481" s="235">
        <f>IF(SUM($N$13:N480)&gt;=pmo,IF(SUM(N480:$N$501)&gt;(1-pmo),B481,0),0)</f>
        <v>0</v>
      </c>
      <c r="AS481" s="235" t="e">
        <f>IF((SUM($U$13:$U480)/ntudv)&gt;=pmv,IF((SUM($U480:$U$501)/ntudv)&gt;(1-pmv),B481,0),0)</f>
        <v>#DIV/0!</v>
      </c>
      <c r="AT481" s="237" t="e">
        <f>IF(MAX(mmo,mmv)=mmo,IF(B481=AR481,(SUM(N$13:$N480)-pmo)/((1-VLOOKUP(MAX(mmo,mmv)-1,$B$13:$O$501,14))+(VLOOKUP(MAX(mmo,mmv)-1,$B$13:$O$501,14)-pmo)),N480/((1-VLOOKUP(MAX(mmo,mmv)-1,$B$13:$O$501,14)+(VLOOKUP(MAX(mmo,mmv)-1,$B$13:$O$501,14)-pmo)))),N480/(1-VLOOKUP(MAX(mmo,mmv)-2,$B$13:$O$501,14)))</f>
        <v>#DIV/0!</v>
      </c>
      <c r="AU481" s="101" t="e">
        <f t="shared" si="364"/>
        <v>#DIV/0!</v>
      </c>
      <c r="AV481" s="287" t="e">
        <f t="shared" si="365"/>
        <v>#DIV/0!</v>
      </c>
      <c r="AW481" s="235" t="e">
        <f t="shared" si="401"/>
        <v>#DIV/0!</v>
      </c>
      <c r="AX481" s="281">
        <f>IF(B481&gt;mpfo,0,IF(B481=mpfo,(vld-teo*(1+tcfo-incc)^(MAX(mmo,mmv)-mbfo))*-1,IF(SUM($N$13:N480)&gt;=pmo,IF(($V480/ntudv)&gt;=pmv,IF(B481=MAX(mmo,mmv),-teo*(1+tcfo-incc)^(B481-mbfo),0),0),0)))</f>
        <v>0</v>
      </c>
      <c r="AY481" s="292" t="e">
        <f t="shared" si="366"/>
        <v>#DIV/0!</v>
      </c>
      <c r="AZ481" s="235" t="e">
        <f t="shared" si="402"/>
        <v>#DIV/0!</v>
      </c>
      <c r="BA481" s="269" t="e">
        <f t="shared" si="403"/>
        <v>#DIV/0!</v>
      </c>
      <c r="BB481" s="292" t="e">
        <f t="shared" si="404"/>
        <v>#DIV/0!</v>
      </c>
      <c r="BC481" s="238" t="e">
        <f>IF(SUM($BC$13:BC480)&gt;0,0,IF(BB481&gt;0,B481,0))</f>
        <v>#DIV/0!</v>
      </c>
      <c r="BD481" s="292" t="e">
        <f>IF(BB481+SUM($BD$12:BD480)&gt;=0,0,-BB481-SUM($BD$12:BD480))</f>
        <v>#DIV/0!</v>
      </c>
      <c r="BE481" s="235" t="e">
        <f>BB481+SUM($BD$12:BD481)</f>
        <v>#DIV/0!</v>
      </c>
      <c r="BF481" s="292" t="e">
        <f>-MIN(BE481:$BE$501)-SUM(BF$12:$BF480)</f>
        <v>#DIV/0!</v>
      </c>
      <c r="BG481" s="235" t="e">
        <f t="shared" si="369"/>
        <v>#DIV/0!</v>
      </c>
    </row>
    <row r="482" spans="2:59">
      <c r="B482" s="246">
        <v>469</v>
      </c>
      <c r="C482" s="241">
        <f t="shared" si="368"/>
        <v>56953</v>
      </c>
      <c r="D482" s="229">
        <f t="shared" si="370"/>
        <v>12</v>
      </c>
      <c r="E482" s="230" t="str">
        <f t="shared" si="371"/>
        <v>-</v>
      </c>
      <c r="F482" s="231">
        <f t="shared" si="372"/>
        <v>0</v>
      </c>
      <c r="G482" s="231">
        <f t="shared" si="373"/>
        <v>0</v>
      </c>
      <c r="H482" s="231">
        <f t="shared" si="374"/>
        <v>0</v>
      </c>
      <c r="I482" s="268">
        <f t="shared" si="359"/>
        <v>0</v>
      </c>
      <c r="J482" s="269">
        <f t="shared" si="375"/>
        <v>0</v>
      </c>
      <c r="K482" s="269">
        <f t="shared" si="376"/>
        <v>0</v>
      </c>
      <c r="L482" s="269">
        <f t="shared" si="360"/>
        <v>0</v>
      </c>
      <c r="M482" s="269">
        <f t="shared" si="361"/>
        <v>0</v>
      </c>
      <c r="N482" s="233">
        <f>VLOOKUP(B482,Dados!$L$86:$P$90,5)</f>
        <v>0</v>
      </c>
      <c r="O482" s="270">
        <f t="shared" si="377"/>
        <v>0.99999999999999989</v>
      </c>
      <c r="P482" s="269">
        <f t="shared" si="378"/>
        <v>0</v>
      </c>
      <c r="Q482" s="269" t="e">
        <f t="shared" si="379"/>
        <v>#DIV/0!</v>
      </c>
      <c r="R482" s="269">
        <f t="shared" si="380"/>
        <v>0</v>
      </c>
      <c r="S482" s="269" t="e">
        <f t="shared" si="381"/>
        <v>#DIV/0!</v>
      </c>
      <c r="T482" s="269" t="e">
        <f t="shared" si="367"/>
        <v>#DIV/0!</v>
      </c>
      <c r="U482" s="234">
        <f t="shared" si="382"/>
        <v>0</v>
      </c>
      <c r="V482" s="232" t="e">
        <f t="shared" si="383"/>
        <v>#DIV/0!</v>
      </c>
      <c r="W482" s="269" t="e">
        <f t="shared" si="384"/>
        <v>#DIV/0!</v>
      </c>
      <c r="X482" s="235">
        <f t="shared" si="362"/>
        <v>0</v>
      </c>
      <c r="Y482" s="236">
        <f t="shared" si="385"/>
        <v>5</v>
      </c>
      <c r="Z482" s="236" t="e">
        <f t="shared" si="386"/>
        <v>#DIV/0!</v>
      </c>
      <c r="AA482" s="236">
        <f t="shared" si="387"/>
        <v>3</v>
      </c>
      <c r="AB482" s="236" t="e">
        <f t="shared" si="388"/>
        <v>#DIV/0!</v>
      </c>
      <c r="AC482" s="235">
        <f t="shared" si="389"/>
        <v>0</v>
      </c>
      <c r="AD482" s="235">
        <f t="shared" si="390"/>
        <v>0</v>
      </c>
      <c r="AE482" s="279">
        <f t="shared" si="391"/>
        <v>0</v>
      </c>
      <c r="AF482" s="232">
        <f t="shared" si="392"/>
        <v>1</v>
      </c>
      <c r="AG482" s="235">
        <f t="shared" si="393"/>
        <v>0</v>
      </c>
      <c r="AH482" s="269">
        <f t="shared" si="394"/>
        <v>0</v>
      </c>
      <c r="AI482" s="232">
        <f t="shared" si="395"/>
        <v>1</v>
      </c>
      <c r="AJ482" s="235">
        <f t="shared" si="396"/>
        <v>0</v>
      </c>
      <c r="AK482" s="269">
        <f t="shared" si="397"/>
        <v>0</v>
      </c>
      <c r="AL482" s="269">
        <f t="shared" si="363"/>
        <v>0</v>
      </c>
      <c r="AM482" s="281" t="e">
        <f>IF(B482&gt;=mpfo,pos*vvm*Dados!$E$122*(ntudv-SUM(U$301:$U483))-SUM($AM$13:AM481),0)</f>
        <v>#DIV/0!</v>
      </c>
      <c r="AN482" s="269" t="e">
        <f t="shared" si="398"/>
        <v>#DIV/0!</v>
      </c>
      <c r="AO482" s="232" t="e">
        <f t="shared" si="399"/>
        <v>#DIV/0!</v>
      </c>
      <c r="AP482" s="242" t="e">
        <f t="shared" si="400"/>
        <v>#DIV/0!</v>
      </c>
      <c r="AQ482" s="235" t="e">
        <f>IF(AP482+SUM($AQ$12:AQ481)&gt;=0,0,-AP482-SUM($AQ$12:AQ481))</f>
        <v>#DIV/0!</v>
      </c>
      <c r="AR482" s="235">
        <f>IF(SUM($N$13:N481)&gt;=pmo,IF(SUM(N481:$N$501)&gt;(1-pmo),B482,0),0)</f>
        <v>0</v>
      </c>
      <c r="AS482" s="235" t="e">
        <f>IF((SUM($U$13:$U481)/ntudv)&gt;=pmv,IF((SUM($U481:$U$501)/ntudv)&gt;(1-pmv),B482,0),0)</f>
        <v>#DIV/0!</v>
      </c>
      <c r="AT482" s="237" t="e">
        <f>IF(MAX(mmo,mmv)=mmo,IF(B482=AR482,(SUM(N$13:$N481)-pmo)/((1-VLOOKUP(MAX(mmo,mmv)-1,$B$13:$O$501,14))+(VLOOKUP(MAX(mmo,mmv)-1,$B$13:$O$501,14)-pmo)),N481/((1-VLOOKUP(MAX(mmo,mmv)-1,$B$13:$O$501,14)+(VLOOKUP(MAX(mmo,mmv)-1,$B$13:$O$501,14)-pmo)))),N481/(1-VLOOKUP(MAX(mmo,mmv)-2,$B$13:$O$501,14)))</f>
        <v>#DIV/0!</v>
      </c>
      <c r="AU482" s="101" t="e">
        <f t="shared" si="364"/>
        <v>#DIV/0!</v>
      </c>
      <c r="AV482" s="287" t="e">
        <f t="shared" si="365"/>
        <v>#DIV/0!</v>
      </c>
      <c r="AW482" s="235" t="e">
        <f t="shared" si="401"/>
        <v>#DIV/0!</v>
      </c>
      <c r="AX482" s="281">
        <f>IF(B482&gt;mpfo,0,IF(B482=mpfo,(vld-teo*(1+tcfo-incc)^(MAX(mmo,mmv)-mbfo))*-1,IF(SUM($N$13:N481)&gt;=pmo,IF(($V481/ntudv)&gt;=pmv,IF(B482=MAX(mmo,mmv),-teo*(1+tcfo-incc)^(B482-mbfo),0),0),0)))</f>
        <v>0</v>
      </c>
      <c r="AY482" s="292" t="e">
        <f t="shared" si="366"/>
        <v>#DIV/0!</v>
      </c>
      <c r="AZ482" s="235" t="e">
        <f t="shared" si="402"/>
        <v>#DIV/0!</v>
      </c>
      <c r="BA482" s="269" t="e">
        <f t="shared" si="403"/>
        <v>#DIV/0!</v>
      </c>
      <c r="BB482" s="292" t="e">
        <f t="shared" si="404"/>
        <v>#DIV/0!</v>
      </c>
      <c r="BC482" s="238" t="e">
        <f>IF(SUM($BC$13:BC481)&gt;0,0,IF(BB482&gt;0,B482,0))</f>
        <v>#DIV/0!</v>
      </c>
      <c r="BD482" s="292" t="e">
        <f>IF(BB482+SUM($BD$12:BD481)&gt;=0,0,-BB482-SUM($BD$12:BD481))</f>
        <v>#DIV/0!</v>
      </c>
      <c r="BE482" s="235" t="e">
        <f>BB482+SUM($BD$12:BD482)</f>
        <v>#DIV/0!</v>
      </c>
      <c r="BF482" s="292" t="e">
        <f>-MIN(BE482:$BE$501)-SUM(BF$12:$BF481)</f>
        <v>#DIV/0!</v>
      </c>
      <c r="BG482" s="235" t="e">
        <f t="shared" si="369"/>
        <v>#DIV/0!</v>
      </c>
    </row>
    <row r="483" spans="2:59">
      <c r="B483" s="120">
        <v>470</v>
      </c>
      <c r="C483" s="241">
        <f t="shared" si="368"/>
        <v>56984</v>
      </c>
      <c r="D483" s="229">
        <f t="shared" si="370"/>
        <v>1</v>
      </c>
      <c r="E483" s="230" t="str">
        <f t="shared" si="371"/>
        <v>-</v>
      </c>
      <c r="F483" s="231">
        <f t="shared" si="372"/>
        <v>0</v>
      </c>
      <c r="G483" s="231">
        <f t="shared" si="373"/>
        <v>0</v>
      </c>
      <c r="H483" s="231">
        <f t="shared" si="374"/>
        <v>0</v>
      </c>
      <c r="I483" s="268">
        <f t="shared" si="359"/>
        <v>0</v>
      </c>
      <c r="J483" s="269">
        <f t="shared" si="375"/>
        <v>0</v>
      </c>
      <c r="K483" s="269">
        <f t="shared" si="376"/>
        <v>0</v>
      </c>
      <c r="L483" s="269">
        <f t="shared" si="360"/>
        <v>0</v>
      </c>
      <c r="M483" s="269">
        <f t="shared" si="361"/>
        <v>0</v>
      </c>
      <c r="N483" s="233">
        <f>VLOOKUP(B483,Dados!$L$86:$P$90,5)</f>
        <v>0</v>
      </c>
      <c r="O483" s="270">
        <f t="shared" si="377"/>
        <v>0.99999999999999989</v>
      </c>
      <c r="P483" s="269">
        <f t="shared" si="378"/>
        <v>0</v>
      </c>
      <c r="Q483" s="269" t="e">
        <f t="shared" si="379"/>
        <v>#DIV/0!</v>
      </c>
      <c r="R483" s="269">
        <f t="shared" si="380"/>
        <v>0</v>
      </c>
      <c r="S483" s="269" t="e">
        <f t="shared" si="381"/>
        <v>#DIV/0!</v>
      </c>
      <c r="T483" s="269" t="e">
        <f t="shared" si="367"/>
        <v>#DIV/0!</v>
      </c>
      <c r="U483" s="234">
        <f t="shared" si="382"/>
        <v>0</v>
      </c>
      <c r="V483" s="232" t="e">
        <f t="shared" si="383"/>
        <v>#DIV/0!</v>
      </c>
      <c r="W483" s="269" t="e">
        <f t="shared" si="384"/>
        <v>#DIV/0!</v>
      </c>
      <c r="X483" s="235">
        <f t="shared" si="362"/>
        <v>0</v>
      </c>
      <c r="Y483" s="236">
        <f t="shared" si="385"/>
        <v>5</v>
      </c>
      <c r="Z483" s="236" t="e">
        <f t="shared" si="386"/>
        <v>#DIV/0!</v>
      </c>
      <c r="AA483" s="236">
        <f t="shared" si="387"/>
        <v>3</v>
      </c>
      <c r="AB483" s="236" t="e">
        <f t="shared" si="388"/>
        <v>#DIV/0!</v>
      </c>
      <c r="AC483" s="235">
        <f t="shared" si="389"/>
        <v>0</v>
      </c>
      <c r="AD483" s="235">
        <f t="shared" si="390"/>
        <v>0</v>
      </c>
      <c r="AE483" s="279">
        <f t="shared" si="391"/>
        <v>0</v>
      </c>
      <c r="AF483" s="232">
        <f t="shared" si="392"/>
        <v>0</v>
      </c>
      <c r="AG483" s="235">
        <f t="shared" si="393"/>
        <v>0</v>
      </c>
      <c r="AH483" s="269">
        <f t="shared" si="394"/>
        <v>0</v>
      </c>
      <c r="AI483" s="232">
        <f t="shared" si="395"/>
        <v>0</v>
      </c>
      <c r="AJ483" s="235">
        <f t="shared" si="396"/>
        <v>0</v>
      </c>
      <c r="AK483" s="269">
        <f t="shared" si="397"/>
        <v>0</v>
      </c>
      <c r="AL483" s="269">
        <f t="shared" si="363"/>
        <v>0</v>
      </c>
      <c r="AM483" s="281" t="e">
        <f>IF(B483&gt;=mpfo,pos*vvm*Dados!$E$122*(ntudv-SUM(U$301:$U484))-SUM($AM$13:AM482),0)</f>
        <v>#DIV/0!</v>
      </c>
      <c r="AN483" s="269" t="e">
        <f t="shared" si="398"/>
        <v>#DIV/0!</v>
      </c>
      <c r="AO483" s="232" t="e">
        <f t="shared" si="399"/>
        <v>#DIV/0!</v>
      </c>
      <c r="AP483" s="242" t="e">
        <f t="shared" si="400"/>
        <v>#DIV/0!</v>
      </c>
      <c r="AQ483" s="235" t="e">
        <f>IF(AP483+SUM($AQ$12:AQ482)&gt;=0,0,-AP483-SUM($AQ$12:AQ482))</f>
        <v>#DIV/0!</v>
      </c>
      <c r="AR483" s="235">
        <f>IF(SUM($N$13:N482)&gt;=pmo,IF(SUM(N482:$N$501)&gt;(1-pmo),B483,0),0)</f>
        <v>0</v>
      </c>
      <c r="AS483" s="235" t="e">
        <f>IF((SUM($U$13:$U482)/ntudv)&gt;=pmv,IF((SUM($U482:$U$501)/ntudv)&gt;(1-pmv),B483,0),0)</f>
        <v>#DIV/0!</v>
      </c>
      <c r="AT483" s="237" t="e">
        <f>IF(MAX(mmo,mmv)=mmo,IF(B483=AR483,(SUM(N$13:$N482)-pmo)/((1-VLOOKUP(MAX(mmo,mmv)-1,$B$13:$O$501,14))+(VLOOKUP(MAX(mmo,mmv)-1,$B$13:$O$501,14)-pmo)),N482/((1-VLOOKUP(MAX(mmo,mmv)-1,$B$13:$O$501,14)+(VLOOKUP(MAX(mmo,mmv)-1,$B$13:$O$501,14)-pmo)))),N482/(1-VLOOKUP(MAX(mmo,mmv)-2,$B$13:$O$501,14)))</f>
        <v>#DIV/0!</v>
      </c>
      <c r="AU483" s="101" t="e">
        <f t="shared" si="364"/>
        <v>#DIV/0!</v>
      </c>
      <c r="AV483" s="287" t="e">
        <f t="shared" si="365"/>
        <v>#DIV/0!</v>
      </c>
      <c r="AW483" s="235" t="e">
        <f t="shared" si="401"/>
        <v>#DIV/0!</v>
      </c>
      <c r="AX483" s="281">
        <f>IF(B483&gt;mpfo,0,IF(B483=mpfo,(vld-teo*(1+tcfo-incc)^(MAX(mmo,mmv)-mbfo))*-1,IF(SUM($N$13:N482)&gt;=pmo,IF(($V482/ntudv)&gt;=pmv,IF(B483=MAX(mmo,mmv),-teo*(1+tcfo-incc)^(B483-mbfo),0),0),0)))</f>
        <v>0</v>
      </c>
      <c r="AY483" s="292" t="e">
        <f t="shared" si="366"/>
        <v>#DIV/0!</v>
      </c>
      <c r="AZ483" s="235" t="e">
        <f t="shared" si="402"/>
        <v>#DIV/0!</v>
      </c>
      <c r="BA483" s="269" t="e">
        <f t="shared" si="403"/>
        <v>#DIV/0!</v>
      </c>
      <c r="BB483" s="292" t="e">
        <f t="shared" si="404"/>
        <v>#DIV/0!</v>
      </c>
      <c r="BC483" s="238" t="e">
        <f>IF(SUM($BC$13:BC482)&gt;0,0,IF(BB483&gt;0,B483,0))</f>
        <v>#DIV/0!</v>
      </c>
      <c r="BD483" s="292" t="e">
        <f>IF(BB483+SUM($BD$12:BD482)&gt;=0,0,-BB483-SUM($BD$12:BD482))</f>
        <v>#DIV/0!</v>
      </c>
      <c r="BE483" s="235" t="e">
        <f>BB483+SUM($BD$12:BD483)</f>
        <v>#DIV/0!</v>
      </c>
      <c r="BF483" s="292" t="e">
        <f>-MIN(BE483:$BE$501)-SUM(BF$12:$BF482)</f>
        <v>#DIV/0!</v>
      </c>
      <c r="BG483" s="235" t="e">
        <f t="shared" si="369"/>
        <v>#DIV/0!</v>
      </c>
    </row>
    <row r="484" spans="2:59">
      <c r="B484" s="246">
        <v>471</v>
      </c>
      <c r="C484" s="241">
        <f t="shared" si="368"/>
        <v>57015</v>
      </c>
      <c r="D484" s="229">
        <f t="shared" si="370"/>
        <v>2</v>
      </c>
      <c r="E484" s="230" t="str">
        <f t="shared" si="371"/>
        <v>-</v>
      </c>
      <c r="F484" s="231">
        <f t="shared" si="372"/>
        <v>0</v>
      </c>
      <c r="G484" s="231">
        <f t="shared" si="373"/>
        <v>0</v>
      </c>
      <c r="H484" s="231">
        <f t="shared" si="374"/>
        <v>0</v>
      </c>
      <c r="I484" s="268">
        <f t="shared" si="359"/>
        <v>0</v>
      </c>
      <c r="J484" s="269">
        <f t="shared" si="375"/>
        <v>0</v>
      </c>
      <c r="K484" s="269">
        <f t="shared" si="376"/>
        <v>0</v>
      </c>
      <c r="L484" s="269">
        <f t="shared" si="360"/>
        <v>0</v>
      </c>
      <c r="M484" s="269">
        <f t="shared" si="361"/>
        <v>0</v>
      </c>
      <c r="N484" s="233">
        <f>VLOOKUP(B484,Dados!$L$86:$P$90,5)</f>
        <v>0</v>
      </c>
      <c r="O484" s="270">
        <f t="shared" si="377"/>
        <v>0.99999999999999989</v>
      </c>
      <c r="P484" s="269">
        <f t="shared" si="378"/>
        <v>0</v>
      </c>
      <c r="Q484" s="269" t="e">
        <f t="shared" si="379"/>
        <v>#DIV/0!</v>
      </c>
      <c r="R484" s="269">
        <f t="shared" si="380"/>
        <v>0</v>
      </c>
      <c r="S484" s="269" t="e">
        <f t="shared" si="381"/>
        <v>#DIV/0!</v>
      </c>
      <c r="T484" s="269" t="e">
        <f t="shared" si="367"/>
        <v>#DIV/0!</v>
      </c>
      <c r="U484" s="234">
        <f t="shared" si="382"/>
        <v>0</v>
      </c>
      <c r="V484" s="232" t="e">
        <f t="shared" si="383"/>
        <v>#DIV/0!</v>
      </c>
      <c r="W484" s="269" t="e">
        <f t="shared" si="384"/>
        <v>#DIV/0!</v>
      </c>
      <c r="X484" s="235">
        <f t="shared" si="362"/>
        <v>0</v>
      </c>
      <c r="Y484" s="236">
        <f t="shared" si="385"/>
        <v>5</v>
      </c>
      <c r="Z484" s="236" t="e">
        <f t="shared" si="386"/>
        <v>#DIV/0!</v>
      </c>
      <c r="AA484" s="236">
        <f t="shared" si="387"/>
        <v>3</v>
      </c>
      <c r="AB484" s="236" t="e">
        <f t="shared" si="388"/>
        <v>#DIV/0!</v>
      </c>
      <c r="AC484" s="235">
        <f t="shared" si="389"/>
        <v>0</v>
      </c>
      <c r="AD484" s="235">
        <f t="shared" si="390"/>
        <v>0</v>
      </c>
      <c r="AE484" s="279">
        <f t="shared" si="391"/>
        <v>0</v>
      </c>
      <c r="AF484" s="232">
        <f t="shared" si="392"/>
        <v>0</v>
      </c>
      <c r="AG484" s="235">
        <f t="shared" si="393"/>
        <v>0</v>
      </c>
      <c r="AH484" s="269">
        <f t="shared" si="394"/>
        <v>0</v>
      </c>
      <c r="AI484" s="232">
        <f t="shared" si="395"/>
        <v>0</v>
      </c>
      <c r="AJ484" s="235">
        <f t="shared" si="396"/>
        <v>0</v>
      </c>
      <c r="AK484" s="269">
        <f t="shared" si="397"/>
        <v>0</v>
      </c>
      <c r="AL484" s="269">
        <f t="shared" si="363"/>
        <v>0</v>
      </c>
      <c r="AM484" s="281" t="e">
        <f>IF(B484&gt;=mpfo,pos*vvm*Dados!$E$122*(ntudv-SUM(U$301:$U485))-SUM($AM$13:AM483),0)</f>
        <v>#DIV/0!</v>
      </c>
      <c r="AN484" s="269" t="e">
        <f t="shared" si="398"/>
        <v>#DIV/0!</v>
      </c>
      <c r="AO484" s="232" t="e">
        <f t="shared" si="399"/>
        <v>#DIV/0!</v>
      </c>
      <c r="AP484" s="242" t="e">
        <f t="shared" si="400"/>
        <v>#DIV/0!</v>
      </c>
      <c r="AQ484" s="235" t="e">
        <f>IF(AP484+SUM($AQ$12:AQ483)&gt;=0,0,-AP484-SUM($AQ$12:AQ483))</f>
        <v>#DIV/0!</v>
      </c>
      <c r="AR484" s="235">
        <f>IF(SUM($N$13:N483)&gt;=pmo,IF(SUM(N483:$N$501)&gt;(1-pmo),B484,0),0)</f>
        <v>0</v>
      </c>
      <c r="AS484" s="235" t="e">
        <f>IF((SUM($U$13:$U483)/ntudv)&gt;=pmv,IF((SUM($U483:$U$501)/ntudv)&gt;(1-pmv),B484,0),0)</f>
        <v>#DIV/0!</v>
      </c>
      <c r="AT484" s="237" t="e">
        <f>IF(MAX(mmo,mmv)=mmo,IF(B484=AR484,(SUM(N$13:$N483)-pmo)/((1-VLOOKUP(MAX(mmo,mmv)-1,$B$13:$O$501,14))+(VLOOKUP(MAX(mmo,mmv)-1,$B$13:$O$501,14)-pmo)),N483/((1-VLOOKUP(MAX(mmo,mmv)-1,$B$13:$O$501,14)+(VLOOKUP(MAX(mmo,mmv)-1,$B$13:$O$501,14)-pmo)))),N483/(1-VLOOKUP(MAX(mmo,mmv)-2,$B$13:$O$501,14)))</f>
        <v>#DIV/0!</v>
      </c>
      <c r="AU484" s="101" t="e">
        <f t="shared" si="364"/>
        <v>#DIV/0!</v>
      </c>
      <c r="AV484" s="287" t="e">
        <f t="shared" si="365"/>
        <v>#DIV/0!</v>
      </c>
      <c r="AW484" s="235" t="e">
        <f t="shared" si="401"/>
        <v>#DIV/0!</v>
      </c>
      <c r="AX484" s="281">
        <f>IF(B484&gt;mpfo,0,IF(B484=mpfo,(vld-teo*(1+tcfo-incc)^(MAX(mmo,mmv)-mbfo))*-1,IF(SUM($N$13:N483)&gt;=pmo,IF(($V483/ntudv)&gt;=pmv,IF(B484=MAX(mmo,mmv),-teo*(1+tcfo-incc)^(B484-mbfo),0),0),0)))</f>
        <v>0</v>
      </c>
      <c r="AY484" s="292" t="e">
        <f t="shared" si="366"/>
        <v>#DIV/0!</v>
      </c>
      <c r="AZ484" s="235" t="e">
        <f t="shared" si="402"/>
        <v>#DIV/0!</v>
      </c>
      <c r="BA484" s="269" t="e">
        <f t="shared" si="403"/>
        <v>#DIV/0!</v>
      </c>
      <c r="BB484" s="292" t="e">
        <f t="shared" si="404"/>
        <v>#DIV/0!</v>
      </c>
      <c r="BC484" s="238" t="e">
        <f>IF(SUM($BC$13:BC483)&gt;0,0,IF(BB484&gt;0,B484,0))</f>
        <v>#DIV/0!</v>
      </c>
      <c r="BD484" s="292" t="e">
        <f>IF(BB484+SUM($BD$12:BD483)&gt;=0,0,-BB484-SUM($BD$12:BD483))</f>
        <v>#DIV/0!</v>
      </c>
      <c r="BE484" s="235" t="e">
        <f>BB484+SUM($BD$12:BD484)</f>
        <v>#DIV/0!</v>
      </c>
      <c r="BF484" s="292" t="e">
        <f>-MIN(BE484:$BE$501)-SUM(BF$12:$BF483)</f>
        <v>#DIV/0!</v>
      </c>
      <c r="BG484" s="235" t="e">
        <f t="shared" si="369"/>
        <v>#DIV/0!</v>
      </c>
    </row>
    <row r="485" spans="2:59">
      <c r="B485" s="120">
        <v>472</v>
      </c>
      <c r="C485" s="241">
        <f t="shared" si="368"/>
        <v>57044</v>
      </c>
      <c r="D485" s="229">
        <f t="shared" si="370"/>
        <v>3</v>
      </c>
      <c r="E485" s="230" t="str">
        <f t="shared" si="371"/>
        <v>-</v>
      </c>
      <c r="F485" s="231">
        <f t="shared" si="372"/>
        <v>0</v>
      </c>
      <c r="G485" s="231">
        <f t="shared" si="373"/>
        <v>0</v>
      </c>
      <c r="H485" s="231">
        <f t="shared" si="374"/>
        <v>0</v>
      </c>
      <c r="I485" s="268">
        <f t="shared" si="359"/>
        <v>0</v>
      </c>
      <c r="J485" s="269">
        <f t="shared" si="375"/>
        <v>0</v>
      </c>
      <c r="K485" s="269">
        <f t="shared" si="376"/>
        <v>0</v>
      </c>
      <c r="L485" s="269">
        <f t="shared" si="360"/>
        <v>0</v>
      </c>
      <c r="M485" s="269">
        <f t="shared" si="361"/>
        <v>0</v>
      </c>
      <c r="N485" s="233">
        <f>VLOOKUP(B485,Dados!$L$86:$P$90,5)</f>
        <v>0</v>
      </c>
      <c r="O485" s="270">
        <f t="shared" si="377"/>
        <v>0.99999999999999989</v>
      </c>
      <c r="P485" s="269">
        <f t="shared" si="378"/>
        <v>0</v>
      </c>
      <c r="Q485" s="269" t="e">
        <f t="shared" si="379"/>
        <v>#DIV/0!</v>
      </c>
      <c r="R485" s="269">
        <f t="shared" si="380"/>
        <v>0</v>
      </c>
      <c r="S485" s="269" t="e">
        <f t="shared" si="381"/>
        <v>#DIV/0!</v>
      </c>
      <c r="T485" s="269" t="e">
        <f t="shared" si="367"/>
        <v>#DIV/0!</v>
      </c>
      <c r="U485" s="234">
        <f t="shared" si="382"/>
        <v>0</v>
      </c>
      <c r="V485" s="232" t="e">
        <f t="shared" si="383"/>
        <v>#DIV/0!</v>
      </c>
      <c r="W485" s="269" t="e">
        <f t="shared" si="384"/>
        <v>#DIV/0!</v>
      </c>
      <c r="X485" s="235">
        <f t="shared" si="362"/>
        <v>0</v>
      </c>
      <c r="Y485" s="236">
        <f t="shared" si="385"/>
        <v>5</v>
      </c>
      <c r="Z485" s="236" t="e">
        <f t="shared" si="386"/>
        <v>#DIV/0!</v>
      </c>
      <c r="AA485" s="236">
        <f t="shared" si="387"/>
        <v>3</v>
      </c>
      <c r="AB485" s="236" t="e">
        <f t="shared" si="388"/>
        <v>#DIV/0!</v>
      </c>
      <c r="AC485" s="235">
        <f t="shared" si="389"/>
        <v>0</v>
      </c>
      <c r="AD485" s="235">
        <f t="shared" si="390"/>
        <v>0</v>
      </c>
      <c r="AE485" s="279">
        <f t="shared" si="391"/>
        <v>0</v>
      </c>
      <c r="AF485" s="232">
        <f t="shared" si="392"/>
        <v>0</v>
      </c>
      <c r="AG485" s="235">
        <f t="shared" si="393"/>
        <v>0</v>
      </c>
      <c r="AH485" s="269">
        <f t="shared" si="394"/>
        <v>0</v>
      </c>
      <c r="AI485" s="232">
        <f t="shared" si="395"/>
        <v>0</v>
      </c>
      <c r="AJ485" s="235">
        <f t="shared" si="396"/>
        <v>0</v>
      </c>
      <c r="AK485" s="269">
        <f t="shared" si="397"/>
        <v>0</v>
      </c>
      <c r="AL485" s="269">
        <f t="shared" si="363"/>
        <v>0</v>
      </c>
      <c r="AM485" s="281" t="e">
        <f>IF(B485&gt;=mpfo,pos*vvm*Dados!$E$122*(ntudv-SUM(U$301:$U486))-SUM($AM$13:AM484),0)</f>
        <v>#DIV/0!</v>
      </c>
      <c r="AN485" s="269" t="e">
        <f t="shared" si="398"/>
        <v>#DIV/0!</v>
      </c>
      <c r="AO485" s="232" t="e">
        <f t="shared" si="399"/>
        <v>#DIV/0!</v>
      </c>
      <c r="AP485" s="242" t="e">
        <f t="shared" si="400"/>
        <v>#DIV/0!</v>
      </c>
      <c r="AQ485" s="235" t="e">
        <f>IF(AP485+SUM($AQ$12:AQ484)&gt;=0,0,-AP485-SUM($AQ$12:AQ484))</f>
        <v>#DIV/0!</v>
      </c>
      <c r="AR485" s="235">
        <f>IF(SUM($N$13:N484)&gt;=pmo,IF(SUM(N484:$N$501)&gt;(1-pmo),B485,0),0)</f>
        <v>0</v>
      </c>
      <c r="AS485" s="235" t="e">
        <f>IF((SUM($U$13:$U484)/ntudv)&gt;=pmv,IF((SUM($U484:$U$501)/ntudv)&gt;(1-pmv),B485,0),0)</f>
        <v>#DIV/0!</v>
      </c>
      <c r="AT485" s="237" t="e">
        <f>IF(MAX(mmo,mmv)=mmo,IF(B485=AR485,(SUM(N$13:$N484)-pmo)/((1-VLOOKUP(MAX(mmo,mmv)-1,$B$13:$O$501,14))+(VLOOKUP(MAX(mmo,mmv)-1,$B$13:$O$501,14)-pmo)),N484/((1-VLOOKUP(MAX(mmo,mmv)-1,$B$13:$O$501,14)+(VLOOKUP(MAX(mmo,mmv)-1,$B$13:$O$501,14)-pmo)))),N484/(1-VLOOKUP(MAX(mmo,mmv)-2,$B$13:$O$501,14)))</f>
        <v>#DIV/0!</v>
      </c>
      <c r="AU485" s="101" t="e">
        <f t="shared" si="364"/>
        <v>#DIV/0!</v>
      </c>
      <c r="AV485" s="287" t="e">
        <f t="shared" si="365"/>
        <v>#DIV/0!</v>
      </c>
      <c r="AW485" s="235" t="e">
        <f t="shared" si="401"/>
        <v>#DIV/0!</v>
      </c>
      <c r="AX485" s="281">
        <f>IF(B485&gt;mpfo,0,IF(B485=mpfo,(vld-teo*(1+tcfo-incc)^(MAX(mmo,mmv)-mbfo))*-1,IF(SUM($N$13:N484)&gt;=pmo,IF(($V484/ntudv)&gt;=pmv,IF(B485=MAX(mmo,mmv),-teo*(1+tcfo-incc)^(B485-mbfo),0),0),0)))</f>
        <v>0</v>
      </c>
      <c r="AY485" s="292" t="e">
        <f t="shared" si="366"/>
        <v>#DIV/0!</v>
      </c>
      <c r="AZ485" s="235" t="e">
        <f t="shared" si="402"/>
        <v>#DIV/0!</v>
      </c>
      <c r="BA485" s="269" t="e">
        <f t="shared" si="403"/>
        <v>#DIV/0!</v>
      </c>
      <c r="BB485" s="292" t="e">
        <f t="shared" si="404"/>
        <v>#DIV/0!</v>
      </c>
      <c r="BC485" s="238" t="e">
        <f>IF(SUM($BC$13:BC484)&gt;0,0,IF(BB485&gt;0,B485,0))</f>
        <v>#DIV/0!</v>
      </c>
      <c r="BD485" s="292" t="e">
        <f>IF(BB485+SUM($BD$12:BD484)&gt;=0,0,-BB485-SUM($BD$12:BD484))</f>
        <v>#DIV/0!</v>
      </c>
      <c r="BE485" s="235" t="e">
        <f>BB485+SUM($BD$12:BD485)</f>
        <v>#DIV/0!</v>
      </c>
      <c r="BF485" s="292" t="e">
        <f>-MIN(BE485:$BE$501)-SUM(BF$12:$BF484)</f>
        <v>#DIV/0!</v>
      </c>
      <c r="BG485" s="235" t="e">
        <f t="shared" si="369"/>
        <v>#DIV/0!</v>
      </c>
    </row>
    <row r="486" spans="2:59">
      <c r="B486" s="246">
        <v>473</v>
      </c>
      <c r="C486" s="241">
        <f t="shared" si="368"/>
        <v>57075</v>
      </c>
      <c r="D486" s="229">
        <f t="shared" si="370"/>
        <v>4</v>
      </c>
      <c r="E486" s="230" t="str">
        <f t="shared" si="371"/>
        <v>-</v>
      </c>
      <c r="F486" s="231">
        <f t="shared" si="372"/>
        <v>0</v>
      </c>
      <c r="G486" s="231">
        <f t="shared" si="373"/>
        <v>0</v>
      </c>
      <c r="H486" s="231">
        <f t="shared" si="374"/>
        <v>0</v>
      </c>
      <c r="I486" s="268">
        <f t="shared" si="359"/>
        <v>0</v>
      </c>
      <c r="J486" s="269">
        <f t="shared" si="375"/>
        <v>0</v>
      </c>
      <c r="K486" s="269">
        <f t="shared" si="376"/>
        <v>0</v>
      </c>
      <c r="L486" s="269">
        <f t="shared" si="360"/>
        <v>0</v>
      </c>
      <c r="M486" s="269">
        <f t="shared" si="361"/>
        <v>0</v>
      </c>
      <c r="N486" s="233">
        <f>VLOOKUP(B486,Dados!$L$86:$P$90,5)</f>
        <v>0</v>
      </c>
      <c r="O486" s="270">
        <f t="shared" si="377"/>
        <v>0.99999999999999989</v>
      </c>
      <c r="P486" s="269">
        <f t="shared" si="378"/>
        <v>0</v>
      </c>
      <c r="Q486" s="269" t="e">
        <f t="shared" si="379"/>
        <v>#DIV/0!</v>
      </c>
      <c r="R486" s="269">
        <f t="shared" si="380"/>
        <v>0</v>
      </c>
      <c r="S486" s="269" t="e">
        <f t="shared" si="381"/>
        <v>#DIV/0!</v>
      </c>
      <c r="T486" s="269" t="e">
        <f t="shared" si="367"/>
        <v>#DIV/0!</v>
      </c>
      <c r="U486" s="234">
        <f t="shared" si="382"/>
        <v>0</v>
      </c>
      <c r="V486" s="232" t="e">
        <f t="shared" si="383"/>
        <v>#DIV/0!</v>
      </c>
      <c r="W486" s="269" t="e">
        <f t="shared" si="384"/>
        <v>#DIV/0!</v>
      </c>
      <c r="X486" s="235">
        <f t="shared" si="362"/>
        <v>0</v>
      </c>
      <c r="Y486" s="236">
        <f t="shared" si="385"/>
        <v>5</v>
      </c>
      <c r="Z486" s="236" t="e">
        <f t="shared" si="386"/>
        <v>#DIV/0!</v>
      </c>
      <c r="AA486" s="236">
        <f t="shared" si="387"/>
        <v>3</v>
      </c>
      <c r="AB486" s="236" t="e">
        <f t="shared" si="388"/>
        <v>#DIV/0!</v>
      </c>
      <c r="AC486" s="235">
        <f t="shared" si="389"/>
        <v>0</v>
      </c>
      <c r="AD486" s="235">
        <f t="shared" si="390"/>
        <v>0</v>
      </c>
      <c r="AE486" s="279">
        <f t="shared" si="391"/>
        <v>0</v>
      </c>
      <c r="AF486" s="232">
        <f t="shared" si="392"/>
        <v>0</v>
      </c>
      <c r="AG486" s="235">
        <f t="shared" si="393"/>
        <v>0</v>
      </c>
      <c r="AH486" s="269">
        <f t="shared" si="394"/>
        <v>0</v>
      </c>
      <c r="AI486" s="232">
        <f t="shared" si="395"/>
        <v>0</v>
      </c>
      <c r="AJ486" s="235">
        <f t="shared" si="396"/>
        <v>0</v>
      </c>
      <c r="AK486" s="269">
        <f t="shared" si="397"/>
        <v>0</v>
      </c>
      <c r="AL486" s="269">
        <f t="shared" si="363"/>
        <v>0</v>
      </c>
      <c r="AM486" s="281" t="e">
        <f>IF(B486&gt;=mpfo,pos*vvm*Dados!$E$122*(ntudv-SUM(U$301:$U487))-SUM($AM$13:AM485),0)</f>
        <v>#DIV/0!</v>
      </c>
      <c r="AN486" s="269" t="e">
        <f t="shared" si="398"/>
        <v>#DIV/0!</v>
      </c>
      <c r="AO486" s="232" t="e">
        <f t="shared" si="399"/>
        <v>#DIV/0!</v>
      </c>
      <c r="AP486" s="242" t="e">
        <f t="shared" si="400"/>
        <v>#DIV/0!</v>
      </c>
      <c r="AQ486" s="235" t="e">
        <f>IF(AP486+SUM($AQ$12:AQ485)&gt;=0,0,-AP486-SUM($AQ$12:AQ485))</f>
        <v>#DIV/0!</v>
      </c>
      <c r="AR486" s="235">
        <f>IF(SUM($N$13:N485)&gt;=pmo,IF(SUM(N485:$N$501)&gt;(1-pmo),B486,0),0)</f>
        <v>0</v>
      </c>
      <c r="AS486" s="235" t="e">
        <f>IF((SUM($U$13:$U485)/ntudv)&gt;=pmv,IF((SUM($U485:$U$501)/ntudv)&gt;(1-pmv),B486,0),0)</f>
        <v>#DIV/0!</v>
      </c>
      <c r="AT486" s="237" t="e">
        <f>IF(MAX(mmo,mmv)=mmo,IF(B486=AR486,(SUM(N$13:$N485)-pmo)/((1-VLOOKUP(MAX(mmo,mmv)-1,$B$13:$O$501,14))+(VLOOKUP(MAX(mmo,mmv)-1,$B$13:$O$501,14)-pmo)),N485/((1-VLOOKUP(MAX(mmo,mmv)-1,$B$13:$O$501,14)+(VLOOKUP(MAX(mmo,mmv)-1,$B$13:$O$501,14)-pmo)))),N485/(1-VLOOKUP(MAX(mmo,mmv)-2,$B$13:$O$501,14)))</f>
        <v>#DIV/0!</v>
      </c>
      <c r="AU486" s="101" t="e">
        <f t="shared" si="364"/>
        <v>#DIV/0!</v>
      </c>
      <c r="AV486" s="287" t="e">
        <f t="shared" si="365"/>
        <v>#DIV/0!</v>
      </c>
      <c r="AW486" s="235" t="e">
        <f t="shared" si="401"/>
        <v>#DIV/0!</v>
      </c>
      <c r="AX486" s="281">
        <f>IF(B486&gt;mpfo,0,IF(B486=mpfo,(vld-teo*(1+tcfo-incc)^(MAX(mmo,mmv)-mbfo))*-1,IF(SUM($N$13:N485)&gt;=pmo,IF(($V485/ntudv)&gt;=pmv,IF(B486=MAX(mmo,mmv),-teo*(1+tcfo-incc)^(B486-mbfo),0),0),0)))</f>
        <v>0</v>
      </c>
      <c r="AY486" s="292" t="e">
        <f t="shared" si="366"/>
        <v>#DIV/0!</v>
      </c>
      <c r="AZ486" s="235" t="e">
        <f t="shared" si="402"/>
        <v>#DIV/0!</v>
      </c>
      <c r="BA486" s="269" t="e">
        <f t="shared" si="403"/>
        <v>#DIV/0!</v>
      </c>
      <c r="BB486" s="292" t="e">
        <f t="shared" si="404"/>
        <v>#DIV/0!</v>
      </c>
      <c r="BC486" s="238" t="e">
        <f>IF(SUM($BC$13:BC485)&gt;0,0,IF(BB486&gt;0,B486,0))</f>
        <v>#DIV/0!</v>
      </c>
      <c r="BD486" s="292" t="e">
        <f>IF(BB486+SUM($BD$12:BD485)&gt;=0,0,-BB486-SUM($BD$12:BD485))</f>
        <v>#DIV/0!</v>
      </c>
      <c r="BE486" s="235" t="e">
        <f>BB486+SUM($BD$12:BD486)</f>
        <v>#DIV/0!</v>
      </c>
      <c r="BF486" s="292" t="e">
        <f>-MIN(BE486:$BE$501)-SUM(BF$12:$BF485)</f>
        <v>#DIV/0!</v>
      </c>
      <c r="BG486" s="235" t="e">
        <f t="shared" si="369"/>
        <v>#DIV/0!</v>
      </c>
    </row>
    <row r="487" spans="2:59">
      <c r="B487" s="120">
        <v>474</v>
      </c>
      <c r="C487" s="241">
        <f t="shared" si="368"/>
        <v>57105</v>
      </c>
      <c r="D487" s="229">
        <f t="shared" si="370"/>
        <v>5</v>
      </c>
      <c r="E487" s="230" t="str">
        <f t="shared" si="371"/>
        <v>-</v>
      </c>
      <c r="F487" s="231">
        <f t="shared" si="372"/>
        <v>0</v>
      </c>
      <c r="G487" s="231">
        <f t="shared" si="373"/>
        <v>0</v>
      </c>
      <c r="H487" s="231">
        <f t="shared" si="374"/>
        <v>0</v>
      </c>
      <c r="I487" s="268">
        <f t="shared" si="359"/>
        <v>0</v>
      </c>
      <c r="J487" s="269">
        <f t="shared" si="375"/>
        <v>0</v>
      </c>
      <c r="K487" s="269">
        <f t="shared" si="376"/>
        <v>0</v>
      </c>
      <c r="L487" s="269">
        <f t="shared" si="360"/>
        <v>0</v>
      </c>
      <c r="M487" s="269">
        <f t="shared" si="361"/>
        <v>0</v>
      </c>
      <c r="N487" s="233">
        <f>VLOOKUP(B487,Dados!$L$86:$P$90,5)</f>
        <v>0</v>
      </c>
      <c r="O487" s="270">
        <f t="shared" si="377"/>
        <v>0.99999999999999989</v>
      </c>
      <c r="P487" s="269">
        <f t="shared" si="378"/>
        <v>0</v>
      </c>
      <c r="Q487" s="269" t="e">
        <f t="shared" si="379"/>
        <v>#DIV/0!</v>
      </c>
      <c r="R487" s="269">
        <f t="shared" si="380"/>
        <v>0</v>
      </c>
      <c r="S487" s="269" t="e">
        <f t="shared" si="381"/>
        <v>#DIV/0!</v>
      </c>
      <c r="T487" s="269" t="e">
        <f t="shared" si="367"/>
        <v>#DIV/0!</v>
      </c>
      <c r="U487" s="234">
        <f t="shared" si="382"/>
        <v>0</v>
      </c>
      <c r="V487" s="232" t="e">
        <f t="shared" si="383"/>
        <v>#DIV/0!</v>
      </c>
      <c r="W487" s="269" t="e">
        <f t="shared" si="384"/>
        <v>#DIV/0!</v>
      </c>
      <c r="X487" s="235">
        <f t="shared" si="362"/>
        <v>0</v>
      </c>
      <c r="Y487" s="236">
        <f t="shared" si="385"/>
        <v>5</v>
      </c>
      <c r="Z487" s="236" t="e">
        <f t="shared" si="386"/>
        <v>#DIV/0!</v>
      </c>
      <c r="AA487" s="236">
        <f t="shared" si="387"/>
        <v>3</v>
      </c>
      <c r="AB487" s="236" t="e">
        <f t="shared" si="388"/>
        <v>#DIV/0!</v>
      </c>
      <c r="AC487" s="235">
        <f t="shared" si="389"/>
        <v>0</v>
      </c>
      <c r="AD487" s="235">
        <f t="shared" si="390"/>
        <v>0</v>
      </c>
      <c r="AE487" s="279">
        <f t="shared" si="391"/>
        <v>0</v>
      </c>
      <c r="AF487" s="232">
        <f t="shared" si="392"/>
        <v>0</v>
      </c>
      <c r="AG487" s="235">
        <f t="shared" si="393"/>
        <v>0</v>
      </c>
      <c r="AH487" s="269">
        <f t="shared" si="394"/>
        <v>0</v>
      </c>
      <c r="AI487" s="232">
        <f t="shared" si="395"/>
        <v>0</v>
      </c>
      <c r="AJ487" s="235">
        <f t="shared" si="396"/>
        <v>0</v>
      </c>
      <c r="AK487" s="269">
        <f t="shared" si="397"/>
        <v>0</v>
      </c>
      <c r="AL487" s="269">
        <f t="shared" si="363"/>
        <v>0</v>
      </c>
      <c r="AM487" s="281" t="e">
        <f>IF(B487&gt;=mpfo,pos*vvm*Dados!$E$122*(ntudv-SUM(U$301:$U488))-SUM($AM$13:AM486),0)</f>
        <v>#DIV/0!</v>
      </c>
      <c r="AN487" s="269" t="e">
        <f t="shared" si="398"/>
        <v>#DIV/0!</v>
      </c>
      <c r="AO487" s="232" t="e">
        <f t="shared" si="399"/>
        <v>#DIV/0!</v>
      </c>
      <c r="AP487" s="242" t="e">
        <f t="shared" si="400"/>
        <v>#DIV/0!</v>
      </c>
      <c r="AQ487" s="235" t="e">
        <f>IF(AP487+SUM($AQ$12:AQ486)&gt;=0,0,-AP487-SUM($AQ$12:AQ486))</f>
        <v>#DIV/0!</v>
      </c>
      <c r="AR487" s="235">
        <f>IF(SUM($N$13:N486)&gt;=pmo,IF(SUM(N486:$N$501)&gt;(1-pmo),B487,0),0)</f>
        <v>0</v>
      </c>
      <c r="AS487" s="235" t="e">
        <f>IF((SUM($U$13:$U486)/ntudv)&gt;=pmv,IF((SUM($U486:$U$501)/ntudv)&gt;(1-pmv),B487,0),0)</f>
        <v>#DIV/0!</v>
      </c>
      <c r="AT487" s="237" t="e">
        <f>IF(MAX(mmo,mmv)=mmo,IF(B487=AR487,(SUM(N$13:$N486)-pmo)/((1-VLOOKUP(MAX(mmo,mmv)-1,$B$13:$O$501,14))+(VLOOKUP(MAX(mmo,mmv)-1,$B$13:$O$501,14)-pmo)),N486/((1-VLOOKUP(MAX(mmo,mmv)-1,$B$13:$O$501,14)+(VLOOKUP(MAX(mmo,mmv)-1,$B$13:$O$501,14)-pmo)))),N486/(1-VLOOKUP(MAX(mmo,mmv)-2,$B$13:$O$501,14)))</f>
        <v>#DIV/0!</v>
      </c>
      <c r="AU487" s="101" t="e">
        <f t="shared" si="364"/>
        <v>#DIV/0!</v>
      </c>
      <c r="AV487" s="287" t="e">
        <f t="shared" si="365"/>
        <v>#DIV/0!</v>
      </c>
      <c r="AW487" s="235" t="e">
        <f t="shared" si="401"/>
        <v>#DIV/0!</v>
      </c>
      <c r="AX487" s="281">
        <f>IF(B487&gt;mpfo,0,IF(B487=mpfo,(vld-teo*(1+tcfo-incc)^(MAX(mmo,mmv)-mbfo))*-1,IF(SUM($N$13:N486)&gt;=pmo,IF(($V486/ntudv)&gt;=pmv,IF(B487=MAX(mmo,mmv),-teo*(1+tcfo-incc)^(B487-mbfo),0),0),0)))</f>
        <v>0</v>
      </c>
      <c r="AY487" s="292" t="e">
        <f t="shared" si="366"/>
        <v>#DIV/0!</v>
      </c>
      <c r="AZ487" s="235" t="e">
        <f t="shared" si="402"/>
        <v>#DIV/0!</v>
      </c>
      <c r="BA487" s="269" t="e">
        <f t="shared" si="403"/>
        <v>#DIV/0!</v>
      </c>
      <c r="BB487" s="292" t="e">
        <f t="shared" si="404"/>
        <v>#DIV/0!</v>
      </c>
      <c r="BC487" s="238" t="e">
        <f>IF(SUM($BC$13:BC486)&gt;0,0,IF(BB487&gt;0,B487,0))</f>
        <v>#DIV/0!</v>
      </c>
      <c r="BD487" s="292" t="e">
        <f>IF(BB487+SUM($BD$12:BD486)&gt;=0,0,-BB487-SUM($BD$12:BD486))</f>
        <v>#DIV/0!</v>
      </c>
      <c r="BE487" s="235" t="e">
        <f>BB487+SUM($BD$12:BD487)</f>
        <v>#DIV/0!</v>
      </c>
      <c r="BF487" s="292" t="e">
        <f>-MIN(BE487:$BE$501)-SUM(BF$12:$BF486)</f>
        <v>#DIV/0!</v>
      </c>
      <c r="BG487" s="235" t="e">
        <f t="shared" si="369"/>
        <v>#DIV/0!</v>
      </c>
    </row>
    <row r="488" spans="2:59">
      <c r="B488" s="246">
        <v>475</v>
      </c>
      <c r="C488" s="241">
        <f t="shared" si="368"/>
        <v>57136</v>
      </c>
      <c r="D488" s="229">
        <f t="shared" si="370"/>
        <v>6</v>
      </c>
      <c r="E488" s="230" t="str">
        <f t="shared" si="371"/>
        <v>-</v>
      </c>
      <c r="F488" s="231">
        <f t="shared" si="372"/>
        <v>0</v>
      </c>
      <c r="G488" s="231">
        <f t="shared" si="373"/>
        <v>0</v>
      </c>
      <c r="H488" s="231">
        <f t="shared" si="374"/>
        <v>0</v>
      </c>
      <c r="I488" s="268">
        <f t="shared" si="359"/>
        <v>0</v>
      </c>
      <c r="J488" s="269">
        <f t="shared" si="375"/>
        <v>0</v>
      </c>
      <c r="K488" s="269">
        <f t="shared" si="376"/>
        <v>0</v>
      </c>
      <c r="L488" s="269">
        <f t="shared" si="360"/>
        <v>0</v>
      </c>
      <c r="M488" s="269">
        <f t="shared" si="361"/>
        <v>0</v>
      </c>
      <c r="N488" s="233">
        <f>VLOOKUP(B488,Dados!$L$86:$P$90,5)</f>
        <v>0</v>
      </c>
      <c r="O488" s="270">
        <f t="shared" si="377"/>
        <v>0.99999999999999989</v>
      </c>
      <c r="P488" s="269">
        <f t="shared" si="378"/>
        <v>0</v>
      </c>
      <c r="Q488" s="269" t="e">
        <f t="shared" si="379"/>
        <v>#DIV/0!</v>
      </c>
      <c r="R488" s="269">
        <f t="shared" si="380"/>
        <v>0</v>
      </c>
      <c r="S488" s="269" t="e">
        <f t="shared" si="381"/>
        <v>#DIV/0!</v>
      </c>
      <c r="T488" s="269" t="e">
        <f t="shared" si="367"/>
        <v>#DIV/0!</v>
      </c>
      <c r="U488" s="234">
        <f t="shared" si="382"/>
        <v>0</v>
      </c>
      <c r="V488" s="232" t="e">
        <f t="shared" si="383"/>
        <v>#DIV/0!</v>
      </c>
      <c r="W488" s="269" t="e">
        <f t="shared" si="384"/>
        <v>#DIV/0!</v>
      </c>
      <c r="X488" s="235">
        <f t="shared" si="362"/>
        <v>0</v>
      </c>
      <c r="Y488" s="236">
        <f t="shared" si="385"/>
        <v>5</v>
      </c>
      <c r="Z488" s="236" t="e">
        <f t="shared" si="386"/>
        <v>#DIV/0!</v>
      </c>
      <c r="AA488" s="236">
        <f t="shared" si="387"/>
        <v>3</v>
      </c>
      <c r="AB488" s="236" t="e">
        <f t="shared" si="388"/>
        <v>#DIV/0!</v>
      </c>
      <c r="AC488" s="235">
        <f t="shared" si="389"/>
        <v>0</v>
      </c>
      <c r="AD488" s="235">
        <f t="shared" si="390"/>
        <v>0</v>
      </c>
      <c r="AE488" s="279">
        <f t="shared" si="391"/>
        <v>0</v>
      </c>
      <c r="AF488" s="232">
        <f t="shared" si="392"/>
        <v>1</v>
      </c>
      <c r="AG488" s="235">
        <f t="shared" si="393"/>
        <v>0</v>
      </c>
      <c r="AH488" s="269">
        <f t="shared" si="394"/>
        <v>0</v>
      </c>
      <c r="AI488" s="232">
        <f t="shared" si="395"/>
        <v>0</v>
      </c>
      <c r="AJ488" s="235">
        <f t="shared" si="396"/>
        <v>0</v>
      </c>
      <c r="AK488" s="269">
        <f t="shared" si="397"/>
        <v>0</v>
      </c>
      <c r="AL488" s="269">
        <f t="shared" si="363"/>
        <v>0</v>
      </c>
      <c r="AM488" s="281" t="e">
        <f>IF(B488&gt;=mpfo,pos*vvm*Dados!$E$122*(ntudv-SUM(U$301:$U489))-SUM($AM$13:AM487),0)</f>
        <v>#DIV/0!</v>
      </c>
      <c r="AN488" s="269" t="e">
        <f t="shared" si="398"/>
        <v>#DIV/0!</v>
      </c>
      <c r="AO488" s="232" t="e">
        <f t="shared" si="399"/>
        <v>#DIV/0!</v>
      </c>
      <c r="AP488" s="242" t="e">
        <f t="shared" si="400"/>
        <v>#DIV/0!</v>
      </c>
      <c r="AQ488" s="235" t="e">
        <f>IF(AP488+SUM($AQ$12:AQ487)&gt;=0,0,-AP488-SUM($AQ$12:AQ487))</f>
        <v>#DIV/0!</v>
      </c>
      <c r="AR488" s="235">
        <f>IF(SUM($N$13:N487)&gt;=pmo,IF(SUM(N487:$N$501)&gt;(1-pmo),B488,0),0)</f>
        <v>0</v>
      </c>
      <c r="AS488" s="235" t="e">
        <f>IF((SUM($U$13:$U487)/ntudv)&gt;=pmv,IF((SUM($U487:$U$501)/ntudv)&gt;(1-pmv),B488,0),0)</f>
        <v>#DIV/0!</v>
      </c>
      <c r="AT488" s="237" t="e">
        <f>IF(MAX(mmo,mmv)=mmo,IF(B488=AR488,(SUM(N$13:$N487)-pmo)/((1-VLOOKUP(MAX(mmo,mmv)-1,$B$13:$O$501,14))+(VLOOKUP(MAX(mmo,mmv)-1,$B$13:$O$501,14)-pmo)),N487/((1-VLOOKUP(MAX(mmo,mmv)-1,$B$13:$O$501,14)+(VLOOKUP(MAX(mmo,mmv)-1,$B$13:$O$501,14)-pmo)))),N487/(1-VLOOKUP(MAX(mmo,mmv)-2,$B$13:$O$501,14)))</f>
        <v>#DIV/0!</v>
      </c>
      <c r="AU488" s="101" t="e">
        <f t="shared" si="364"/>
        <v>#DIV/0!</v>
      </c>
      <c r="AV488" s="287" t="e">
        <f t="shared" si="365"/>
        <v>#DIV/0!</v>
      </c>
      <c r="AW488" s="235" t="e">
        <f t="shared" si="401"/>
        <v>#DIV/0!</v>
      </c>
      <c r="AX488" s="281">
        <f>IF(B488&gt;mpfo,0,IF(B488=mpfo,(vld-teo*(1+tcfo-incc)^(MAX(mmo,mmv)-mbfo))*-1,IF(SUM($N$13:N487)&gt;=pmo,IF(($V487/ntudv)&gt;=pmv,IF(B488=MAX(mmo,mmv),-teo*(1+tcfo-incc)^(B488-mbfo),0),0),0)))</f>
        <v>0</v>
      </c>
      <c r="AY488" s="292" t="e">
        <f t="shared" si="366"/>
        <v>#DIV/0!</v>
      </c>
      <c r="AZ488" s="235" t="e">
        <f t="shared" si="402"/>
        <v>#DIV/0!</v>
      </c>
      <c r="BA488" s="269" t="e">
        <f t="shared" si="403"/>
        <v>#DIV/0!</v>
      </c>
      <c r="BB488" s="292" t="e">
        <f t="shared" si="404"/>
        <v>#DIV/0!</v>
      </c>
      <c r="BC488" s="238" t="e">
        <f>IF(SUM($BC$13:BC487)&gt;0,0,IF(BB488&gt;0,B488,0))</f>
        <v>#DIV/0!</v>
      </c>
      <c r="BD488" s="292" t="e">
        <f>IF(BB488+SUM($BD$12:BD487)&gt;=0,0,-BB488-SUM($BD$12:BD487))</f>
        <v>#DIV/0!</v>
      </c>
      <c r="BE488" s="235" t="e">
        <f>BB488+SUM($BD$12:BD488)</f>
        <v>#DIV/0!</v>
      </c>
      <c r="BF488" s="292" t="e">
        <f>-MIN(BE488:$BE$501)-SUM(BF$12:$BF487)</f>
        <v>#DIV/0!</v>
      </c>
      <c r="BG488" s="235" t="e">
        <f t="shared" si="369"/>
        <v>#DIV/0!</v>
      </c>
    </row>
    <row r="489" spans="2:59">
      <c r="B489" s="120">
        <v>476</v>
      </c>
      <c r="C489" s="241">
        <f t="shared" si="368"/>
        <v>57166</v>
      </c>
      <c r="D489" s="229">
        <f t="shared" si="370"/>
        <v>7</v>
      </c>
      <c r="E489" s="230" t="str">
        <f t="shared" si="371"/>
        <v>-</v>
      </c>
      <c r="F489" s="231">
        <f t="shared" si="372"/>
        <v>0</v>
      </c>
      <c r="G489" s="231">
        <f t="shared" si="373"/>
        <v>0</v>
      </c>
      <c r="H489" s="231">
        <f t="shared" si="374"/>
        <v>0</v>
      </c>
      <c r="I489" s="268">
        <f t="shared" si="359"/>
        <v>0</v>
      </c>
      <c r="J489" s="269">
        <f t="shared" si="375"/>
        <v>0</v>
      </c>
      <c r="K489" s="269">
        <f t="shared" si="376"/>
        <v>0</v>
      </c>
      <c r="L489" s="269">
        <f t="shared" si="360"/>
        <v>0</v>
      </c>
      <c r="M489" s="269">
        <f t="shared" si="361"/>
        <v>0</v>
      </c>
      <c r="N489" s="233">
        <f>VLOOKUP(B489,Dados!$L$86:$P$90,5)</f>
        <v>0</v>
      </c>
      <c r="O489" s="270">
        <f t="shared" si="377"/>
        <v>0.99999999999999989</v>
      </c>
      <c r="P489" s="269">
        <f t="shared" si="378"/>
        <v>0</v>
      </c>
      <c r="Q489" s="269" t="e">
        <f t="shared" si="379"/>
        <v>#DIV/0!</v>
      </c>
      <c r="R489" s="269">
        <f t="shared" si="380"/>
        <v>0</v>
      </c>
      <c r="S489" s="269" t="e">
        <f t="shared" si="381"/>
        <v>#DIV/0!</v>
      </c>
      <c r="T489" s="269" t="e">
        <f t="shared" si="367"/>
        <v>#DIV/0!</v>
      </c>
      <c r="U489" s="234">
        <f t="shared" si="382"/>
        <v>0</v>
      </c>
      <c r="V489" s="232" t="e">
        <f t="shared" si="383"/>
        <v>#DIV/0!</v>
      </c>
      <c r="W489" s="269" t="e">
        <f t="shared" si="384"/>
        <v>#DIV/0!</v>
      </c>
      <c r="X489" s="235">
        <f t="shared" si="362"/>
        <v>0</v>
      </c>
      <c r="Y489" s="236">
        <f t="shared" si="385"/>
        <v>5</v>
      </c>
      <c r="Z489" s="236" t="e">
        <f t="shared" si="386"/>
        <v>#DIV/0!</v>
      </c>
      <c r="AA489" s="236">
        <f t="shared" si="387"/>
        <v>3</v>
      </c>
      <c r="AB489" s="236" t="e">
        <f t="shared" si="388"/>
        <v>#DIV/0!</v>
      </c>
      <c r="AC489" s="235">
        <f t="shared" si="389"/>
        <v>0</v>
      </c>
      <c r="AD489" s="235">
        <f t="shared" si="390"/>
        <v>0</v>
      </c>
      <c r="AE489" s="279">
        <f t="shared" si="391"/>
        <v>0</v>
      </c>
      <c r="AF489" s="232">
        <f t="shared" si="392"/>
        <v>0</v>
      </c>
      <c r="AG489" s="235">
        <f t="shared" si="393"/>
        <v>0</v>
      </c>
      <c r="AH489" s="269">
        <f t="shared" si="394"/>
        <v>0</v>
      </c>
      <c r="AI489" s="232">
        <f t="shared" si="395"/>
        <v>0</v>
      </c>
      <c r="AJ489" s="235">
        <f t="shared" si="396"/>
        <v>0</v>
      </c>
      <c r="AK489" s="269">
        <f t="shared" si="397"/>
        <v>0</v>
      </c>
      <c r="AL489" s="269">
        <f t="shared" si="363"/>
        <v>0</v>
      </c>
      <c r="AM489" s="281" t="e">
        <f>IF(B489&gt;=mpfo,pos*vvm*Dados!$E$122*(ntudv-SUM(U$301:$U490))-SUM($AM$13:AM488),0)</f>
        <v>#DIV/0!</v>
      </c>
      <c r="AN489" s="269" t="e">
        <f t="shared" si="398"/>
        <v>#DIV/0!</v>
      </c>
      <c r="AO489" s="232" t="e">
        <f t="shared" si="399"/>
        <v>#DIV/0!</v>
      </c>
      <c r="AP489" s="242" t="e">
        <f t="shared" si="400"/>
        <v>#DIV/0!</v>
      </c>
      <c r="AQ489" s="235" t="e">
        <f>IF(AP489+SUM($AQ$12:AQ488)&gt;=0,0,-AP489-SUM($AQ$12:AQ488))</f>
        <v>#DIV/0!</v>
      </c>
      <c r="AR489" s="235">
        <f>IF(SUM($N$13:N488)&gt;=pmo,IF(SUM(N488:$N$501)&gt;(1-pmo),B489,0),0)</f>
        <v>0</v>
      </c>
      <c r="AS489" s="235" t="e">
        <f>IF((SUM($U$13:$U488)/ntudv)&gt;=pmv,IF((SUM($U488:$U$501)/ntudv)&gt;(1-pmv),B489,0),0)</f>
        <v>#DIV/0!</v>
      </c>
      <c r="AT489" s="237" t="e">
        <f>IF(MAX(mmo,mmv)=mmo,IF(B489=AR489,(SUM(N$13:$N488)-pmo)/((1-VLOOKUP(MAX(mmo,mmv)-1,$B$13:$O$501,14))+(VLOOKUP(MAX(mmo,mmv)-1,$B$13:$O$501,14)-pmo)),N488/((1-VLOOKUP(MAX(mmo,mmv)-1,$B$13:$O$501,14)+(VLOOKUP(MAX(mmo,mmv)-1,$B$13:$O$501,14)-pmo)))),N488/(1-VLOOKUP(MAX(mmo,mmv)-2,$B$13:$O$501,14)))</f>
        <v>#DIV/0!</v>
      </c>
      <c r="AU489" s="101" t="e">
        <f t="shared" si="364"/>
        <v>#DIV/0!</v>
      </c>
      <c r="AV489" s="287" t="e">
        <f t="shared" si="365"/>
        <v>#DIV/0!</v>
      </c>
      <c r="AW489" s="235" t="e">
        <f t="shared" si="401"/>
        <v>#DIV/0!</v>
      </c>
      <c r="AX489" s="281">
        <f>IF(B489&gt;mpfo,0,IF(B489=mpfo,(vld-teo*(1+tcfo-incc)^(MAX(mmo,mmv)-mbfo))*-1,IF(SUM($N$13:N488)&gt;=pmo,IF(($V488/ntudv)&gt;=pmv,IF(B489=MAX(mmo,mmv),-teo*(1+tcfo-incc)^(B489-mbfo),0),0),0)))</f>
        <v>0</v>
      </c>
      <c r="AY489" s="292" t="e">
        <f t="shared" si="366"/>
        <v>#DIV/0!</v>
      </c>
      <c r="AZ489" s="235" t="e">
        <f t="shared" si="402"/>
        <v>#DIV/0!</v>
      </c>
      <c r="BA489" s="269" t="e">
        <f t="shared" si="403"/>
        <v>#DIV/0!</v>
      </c>
      <c r="BB489" s="292" t="e">
        <f t="shared" si="404"/>
        <v>#DIV/0!</v>
      </c>
      <c r="BC489" s="238" t="e">
        <f>IF(SUM($BC$13:BC488)&gt;0,0,IF(BB489&gt;0,B489,0))</f>
        <v>#DIV/0!</v>
      </c>
      <c r="BD489" s="292" t="e">
        <f>IF(BB489+SUM($BD$12:BD488)&gt;=0,0,-BB489-SUM($BD$12:BD488))</f>
        <v>#DIV/0!</v>
      </c>
      <c r="BE489" s="235" t="e">
        <f>BB489+SUM($BD$12:BD489)</f>
        <v>#DIV/0!</v>
      </c>
      <c r="BF489" s="292" t="e">
        <f>-MIN(BE489:$BE$501)-SUM(BF$12:$BF488)</f>
        <v>#DIV/0!</v>
      </c>
      <c r="BG489" s="235" t="e">
        <f t="shared" si="369"/>
        <v>#DIV/0!</v>
      </c>
    </row>
    <row r="490" spans="2:59">
      <c r="B490" s="246">
        <v>477</v>
      </c>
      <c r="C490" s="241">
        <f t="shared" si="368"/>
        <v>57197</v>
      </c>
      <c r="D490" s="229">
        <f t="shared" si="370"/>
        <v>8</v>
      </c>
      <c r="E490" s="230" t="str">
        <f t="shared" si="371"/>
        <v>-</v>
      </c>
      <c r="F490" s="231">
        <f t="shared" si="372"/>
        <v>0</v>
      </c>
      <c r="G490" s="231">
        <f t="shared" si="373"/>
        <v>0</v>
      </c>
      <c r="H490" s="231">
        <f t="shared" si="374"/>
        <v>0</v>
      </c>
      <c r="I490" s="268">
        <f t="shared" si="359"/>
        <v>0</v>
      </c>
      <c r="J490" s="269">
        <f t="shared" si="375"/>
        <v>0</v>
      </c>
      <c r="K490" s="269">
        <f t="shared" si="376"/>
        <v>0</v>
      </c>
      <c r="L490" s="269">
        <f t="shared" si="360"/>
        <v>0</v>
      </c>
      <c r="M490" s="269">
        <f t="shared" si="361"/>
        <v>0</v>
      </c>
      <c r="N490" s="233">
        <f>VLOOKUP(B490,Dados!$L$86:$P$90,5)</f>
        <v>0</v>
      </c>
      <c r="O490" s="270">
        <f t="shared" si="377"/>
        <v>0.99999999999999989</v>
      </c>
      <c r="P490" s="269">
        <f t="shared" si="378"/>
        <v>0</v>
      </c>
      <c r="Q490" s="269" t="e">
        <f t="shared" si="379"/>
        <v>#DIV/0!</v>
      </c>
      <c r="R490" s="269">
        <f t="shared" si="380"/>
        <v>0</v>
      </c>
      <c r="S490" s="269" t="e">
        <f t="shared" si="381"/>
        <v>#DIV/0!</v>
      </c>
      <c r="T490" s="269" t="e">
        <f t="shared" si="367"/>
        <v>#DIV/0!</v>
      </c>
      <c r="U490" s="234">
        <f t="shared" si="382"/>
        <v>0</v>
      </c>
      <c r="V490" s="232" t="e">
        <f t="shared" si="383"/>
        <v>#DIV/0!</v>
      </c>
      <c r="W490" s="269" t="e">
        <f t="shared" si="384"/>
        <v>#DIV/0!</v>
      </c>
      <c r="X490" s="235">
        <f t="shared" si="362"/>
        <v>0</v>
      </c>
      <c r="Y490" s="236">
        <f t="shared" si="385"/>
        <v>5</v>
      </c>
      <c r="Z490" s="236" t="e">
        <f t="shared" si="386"/>
        <v>#DIV/0!</v>
      </c>
      <c r="AA490" s="236">
        <f t="shared" si="387"/>
        <v>3</v>
      </c>
      <c r="AB490" s="236" t="e">
        <f t="shared" si="388"/>
        <v>#DIV/0!</v>
      </c>
      <c r="AC490" s="235">
        <f t="shared" si="389"/>
        <v>0</v>
      </c>
      <c r="AD490" s="235">
        <f t="shared" si="390"/>
        <v>0</v>
      </c>
      <c r="AE490" s="279">
        <f t="shared" si="391"/>
        <v>0</v>
      </c>
      <c r="AF490" s="232">
        <f t="shared" si="392"/>
        <v>0</v>
      </c>
      <c r="AG490" s="235">
        <f t="shared" si="393"/>
        <v>0</v>
      </c>
      <c r="AH490" s="269">
        <f t="shared" si="394"/>
        <v>0</v>
      </c>
      <c r="AI490" s="232">
        <f t="shared" si="395"/>
        <v>0</v>
      </c>
      <c r="AJ490" s="235">
        <f t="shared" si="396"/>
        <v>0</v>
      </c>
      <c r="AK490" s="269">
        <f t="shared" si="397"/>
        <v>0</v>
      </c>
      <c r="AL490" s="269">
        <f t="shared" si="363"/>
        <v>0</v>
      </c>
      <c r="AM490" s="281" t="e">
        <f>IF(B490&gt;=mpfo,pos*vvm*Dados!$E$122*(ntudv-SUM(U$301:$U491))-SUM($AM$13:AM489),0)</f>
        <v>#DIV/0!</v>
      </c>
      <c r="AN490" s="269" t="e">
        <f t="shared" si="398"/>
        <v>#DIV/0!</v>
      </c>
      <c r="AO490" s="232" t="e">
        <f t="shared" si="399"/>
        <v>#DIV/0!</v>
      </c>
      <c r="AP490" s="242" t="e">
        <f t="shared" si="400"/>
        <v>#DIV/0!</v>
      </c>
      <c r="AQ490" s="235" t="e">
        <f>IF(AP490+SUM($AQ$12:AQ489)&gt;=0,0,-AP490-SUM($AQ$12:AQ489))</f>
        <v>#DIV/0!</v>
      </c>
      <c r="AR490" s="235">
        <f>IF(SUM($N$13:N489)&gt;=pmo,IF(SUM(N489:$N$501)&gt;(1-pmo),B490,0),0)</f>
        <v>0</v>
      </c>
      <c r="AS490" s="235" t="e">
        <f>IF((SUM($U$13:$U489)/ntudv)&gt;=pmv,IF((SUM($U489:$U$501)/ntudv)&gt;(1-pmv),B490,0),0)</f>
        <v>#DIV/0!</v>
      </c>
      <c r="AT490" s="237" t="e">
        <f>IF(MAX(mmo,mmv)=mmo,IF(B490=AR490,(SUM(N$13:$N489)-pmo)/((1-VLOOKUP(MAX(mmo,mmv)-1,$B$13:$O$501,14))+(VLOOKUP(MAX(mmo,mmv)-1,$B$13:$O$501,14)-pmo)),N489/((1-VLOOKUP(MAX(mmo,mmv)-1,$B$13:$O$501,14)+(VLOOKUP(MAX(mmo,mmv)-1,$B$13:$O$501,14)-pmo)))),N489/(1-VLOOKUP(MAX(mmo,mmv)-2,$B$13:$O$501,14)))</f>
        <v>#DIV/0!</v>
      </c>
      <c r="AU490" s="101" t="e">
        <f t="shared" si="364"/>
        <v>#DIV/0!</v>
      </c>
      <c r="AV490" s="287" t="e">
        <f t="shared" si="365"/>
        <v>#DIV/0!</v>
      </c>
      <c r="AW490" s="235" t="e">
        <f t="shared" si="401"/>
        <v>#DIV/0!</v>
      </c>
      <c r="AX490" s="281">
        <f>IF(B490&gt;mpfo,0,IF(B490=mpfo,(vld-teo*(1+tcfo-incc)^(MAX(mmo,mmv)-mbfo))*-1,IF(SUM($N$13:N489)&gt;=pmo,IF(($V489/ntudv)&gt;=pmv,IF(B490=MAX(mmo,mmv),-teo*(1+tcfo-incc)^(B490-mbfo),0),0),0)))</f>
        <v>0</v>
      </c>
      <c r="AY490" s="292" t="e">
        <f t="shared" si="366"/>
        <v>#DIV/0!</v>
      </c>
      <c r="AZ490" s="235" t="e">
        <f t="shared" si="402"/>
        <v>#DIV/0!</v>
      </c>
      <c r="BA490" s="269" t="e">
        <f t="shared" si="403"/>
        <v>#DIV/0!</v>
      </c>
      <c r="BB490" s="292" t="e">
        <f t="shared" si="404"/>
        <v>#DIV/0!</v>
      </c>
      <c r="BC490" s="238" t="e">
        <f>IF(SUM($BC$13:BC489)&gt;0,0,IF(BB490&gt;0,B490,0))</f>
        <v>#DIV/0!</v>
      </c>
      <c r="BD490" s="292" t="e">
        <f>IF(BB490+SUM($BD$12:BD489)&gt;=0,0,-BB490-SUM($BD$12:BD489))</f>
        <v>#DIV/0!</v>
      </c>
      <c r="BE490" s="235" t="e">
        <f>BB490+SUM($BD$12:BD490)</f>
        <v>#DIV/0!</v>
      </c>
      <c r="BF490" s="292" t="e">
        <f>-MIN(BE490:$BE$501)-SUM(BF$12:$BF489)</f>
        <v>#DIV/0!</v>
      </c>
      <c r="BG490" s="235" t="e">
        <f t="shared" si="369"/>
        <v>#DIV/0!</v>
      </c>
    </row>
    <row r="491" spans="2:59">
      <c r="B491" s="120">
        <v>478</v>
      </c>
      <c r="C491" s="241">
        <f t="shared" si="368"/>
        <v>57228</v>
      </c>
      <c r="D491" s="229">
        <f t="shared" si="370"/>
        <v>9</v>
      </c>
      <c r="E491" s="230" t="str">
        <f t="shared" si="371"/>
        <v>-</v>
      </c>
      <c r="F491" s="231">
        <f t="shared" si="372"/>
        <v>0</v>
      </c>
      <c r="G491" s="231">
        <f t="shared" si="373"/>
        <v>0</v>
      </c>
      <c r="H491" s="231">
        <f t="shared" si="374"/>
        <v>0</v>
      </c>
      <c r="I491" s="268">
        <f t="shared" si="359"/>
        <v>0</v>
      </c>
      <c r="J491" s="269">
        <f t="shared" si="375"/>
        <v>0</v>
      </c>
      <c r="K491" s="269">
        <f t="shared" si="376"/>
        <v>0</v>
      </c>
      <c r="L491" s="269">
        <f t="shared" si="360"/>
        <v>0</v>
      </c>
      <c r="M491" s="269">
        <f t="shared" si="361"/>
        <v>0</v>
      </c>
      <c r="N491" s="233">
        <f>VLOOKUP(B491,Dados!$L$86:$P$90,5)</f>
        <v>0</v>
      </c>
      <c r="O491" s="270">
        <f t="shared" si="377"/>
        <v>0.99999999999999989</v>
      </c>
      <c r="P491" s="269">
        <f t="shared" si="378"/>
        <v>0</v>
      </c>
      <c r="Q491" s="269" t="e">
        <f t="shared" si="379"/>
        <v>#DIV/0!</v>
      </c>
      <c r="R491" s="269">
        <f t="shared" si="380"/>
        <v>0</v>
      </c>
      <c r="S491" s="269" t="e">
        <f t="shared" si="381"/>
        <v>#DIV/0!</v>
      </c>
      <c r="T491" s="269" t="e">
        <f t="shared" si="367"/>
        <v>#DIV/0!</v>
      </c>
      <c r="U491" s="234">
        <f t="shared" si="382"/>
        <v>0</v>
      </c>
      <c r="V491" s="232" t="e">
        <f t="shared" si="383"/>
        <v>#DIV/0!</v>
      </c>
      <c r="W491" s="269" t="e">
        <f t="shared" si="384"/>
        <v>#DIV/0!</v>
      </c>
      <c r="X491" s="235">
        <f t="shared" si="362"/>
        <v>0</v>
      </c>
      <c r="Y491" s="236">
        <f t="shared" si="385"/>
        <v>5</v>
      </c>
      <c r="Z491" s="236" t="e">
        <f t="shared" si="386"/>
        <v>#DIV/0!</v>
      </c>
      <c r="AA491" s="236">
        <f t="shared" si="387"/>
        <v>3</v>
      </c>
      <c r="AB491" s="236" t="e">
        <f t="shared" si="388"/>
        <v>#DIV/0!</v>
      </c>
      <c r="AC491" s="235">
        <f t="shared" si="389"/>
        <v>0</v>
      </c>
      <c r="AD491" s="235">
        <f t="shared" si="390"/>
        <v>0</v>
      </c>
      <c r="AE491" s="279">
        <f t="shared" si="391"/>
        <v>0</v>
      </c>
      <c r="AF491" s="232">
        <f t="shared" si="392"/>
        <v>0</v>
      </c>
      <c r="AG491" s="235">
        <f t="shared" si="393"/>
        <v>0</v>
      </c>
      <c r="AH491" s="269">
        <f t="shared" si="394"/>
        <v>0</v>
      </c>
      <c r="AI491" s="232">
        <f t="shared" si="395"/>
        <v>0</v>
      </c>
      <c r="AJ491" s="235">
        <f t="shared" si="396"/>
        <v>0</v>
      </c>
      <c r="AK491" s="269">
        <f t="shared" si="397"/>
        <v>0</v>
      </c>
      <c r="AL491" s="269">
        <f t="shared" si="363"/>
        <v>0</v>
      </c>
      <c r="AM491" s="281" t="e">
        <f>IF(B491&gt;=mpfo,pos*vvm*Dados!$E$122*(ntudv-SUM(U$301:$U492))-SUM($AM$13:AM490),0)</f>
        <v>#DIV/0!</v>
      </c>
      <c r="AN491" s="269" t="e">
        <f t="shared" si="398"/>
        <v>#DIV/0!</v>
      </c>
      <c r="AO491" s="232" t="e">
        <f t="shared" si="399"/>
        <v>#DIV/0!</v>
      </c>
      <c r="AP491" s="242" t="e">
        <f t="shared" si="400"/>
        <v>#DIV/0!</v>
      </c>
      <c r="AQ491" s="235" t="e">
        <f>IF(AP491+SUM($AQ$12:AQ490)&gt;=0,0,-AP491-SUM($AQ$12:AQ490))</f>
        <v>#DIV/0!</v>
      </c>
      <c r="AR491" s="235">
        <f>IF(SUM($N$13:N490)&gt;=pmo,IF(SUM(N490:$N$501)&gt;(1-pmo),B491,0),0)</f>
        <v>0</v>
      </c>
      <c r="AS491" s="235" t="e">
        <f>IF((SUM($U$13:$U490)/ntudv)&gt;=pmv,IF((SUM($U490:$U$501)/ntudv)&gt;(1-pmv),B491,0),0)</f>
        <v>#DIV/0!</v>
      </c>
      <c r="AT491" s="237" t="e">
        <f>IF(MAX(mmo,mmv)=mmo,IF(B491=AR491,(SUM(N$13:$N490)-pmo)/((1-VLOOKUP(MAX(mmo,mmv)-1,$B$13:$O$501,14))+(VLOOKUP(MAX(mmo,mmv)-1,$B$13:$O$501,14)-pmo)),N490/((1-VLOOKUP(MAX(mmo,mmv)-1,$B$13:$O$501,14)+(VLOOKUP(MAX(mmo,mmv)-1,$B$13:$O$501,14)-pmo)))),N490/(1-VLOOKUP(MAX(mmo,mmv)-2,$B$13:$O$501,14)))</f>
        <v>#DIV/0!</v>
      </c>
      <c r="AU491" s="101" t="e">
        <f t="shared" si="364"/>
        <v>#DIV/0!</v>
      </c>
      <c r="AV491" s="287" t="e">
        <f t="shared" si="365"/>
        <v>#DIV/0!</v>
      </c>
      <c r="AW491" s="235" t="e">
        <f t="shared" si="401"/>
        <v>#DIV/0!</v>
      </c>
      <c r="AX491" s="281">
        <f>IF(B491&gt;mpfo,0,IF(B491=mpfo,(vld-teo*(1+tcfo-incc)^(MAX(mmo,mmv)-mbfo))*-1,IF(SUM($N$13:N490)&gt;=pmo,IF(($V490/ntudv)&gt;=pmv,IF(B491=MAX(mmo,mmv),-teo*(1+tcfo-incc)^(B491-mbfo),0),0),0)))</f>
        <v>0</v>
      </c>
      <c r="AY491" s="292" t="e">
        <f t="shared" si="366"/>
        <v>#DIV/0!</v>
      </c>
      <c r="AZ491" s="235" t="e">
        <f t="shared" si="402"/>
        <v>#DIV/0!</v>
      </c>
      <c r="BA491" s="269" t="e">
        <f t="shared" si="403"/>
        <v>#DIV/0!</v>
      </c>
      <c r="BB491" s="292" t="e">
        <f t="shared" si="404"/>
        <v>#DIV/0!</v>
      </c>
      <c r="BC491" s="238" t="e">
        <f>IF(SUM($BC$13:BC490)&gt;0,0,IF(BB491&gt;0,B491,0))</f>
        <v>#DIV/0!</v>
      </c>
      <c r="BD491" s="292" t="e">
        <f>IF(BB491+SUM($BD$12:BD490)&gt;=0,0,-BB491-SUM($BD$12:BD490))</f>
        <v>#DIV/0!</v>
      </c>
      <c r="BE491" s="235" t="e">
        <f>BB491+SUM($BD$12:BD491)</f>
        <v>#DIV/0!</v>
      </c>
      <c r="BF491" s="292" t="e">
        <f>-MIN(BE491:$BE$501)-SUM(BF$12:$BF490)</f>
        <v>#DIV/0!</v>
      </c>
      <c r="BG491" s="235" t="e">
        <f t="shared" si="369"/>
        <v>#DIV/0!</v>
      </c>
    </row>
    <row r="492" spans="2:59">
      <c r="B492" s="246">
        <v>479</v>
      </c>
      <c r="C492" s="241">
        <f t="shared" si="368"/>
        <v>57258</v>
      </c>
      <c r="D492" s="229">
        <f t="shared" si="370"/>
        <v>10</v>
      </c>
      <c r="E492" s="230" t="str">
        <f t="shared" si="371"/>
        <v>-</v>
      </c>
      <c r="F492" s="231">
        <f t="shared" si="372"/>
        <v>0</v>
      </c>
      <c r="G492" s="231">
        <f t="shared" si="373"/>
        <v>0</v>
      </c>
      <c r="H492" s="231">
        <f t="shared" si="374"/>
        <v>0</v>
      </c>
      <c r="I492" s="268">
        <f t="shared" si="359"/>
        <v>0</v>
      </c>
      <c r="J492" s="269">
        <f t="shared" si="375"/>
        <v>0</v>
      </c>
      <c r="K492" s="269">
        <f t="shared" si="376"/>
        <v>0</v>
      </c>
      <c r="L492" s="269">
        <f t="shared" si="360"/>
        <v>0</v>
      </c>
      <c r="M492" s="269">
        <f t="shared" si="361"/>
        <v>0</v>
      </c>
      <c r="N492" s="233">
        <f>VLOOKUP(B492,Dados!$L$86:$P$90,5)</f>
        <v>0</v>
      </c>
      <c r="O492" s="270">
        <f t="shared" si="377"/>
        <v>0.99999999999999989</v>
      </c>
      <c r="P492" s="269">
        <f t="shared" si="378"/>
        <v>0</v>
      </c>
      <c r="Q492" s="269" t="e">
        <f t="shared" si="379"/>
        <v>#DIV/0!</v>
      </c>
      <c r="R492" s="269">
        <f t="shared" si="380"/>
        <v>0</v>
      </c>
      <c r="S492" s="269" t="e">
        <f t="shared" si="381"/>
        <v>#DIV/0!</v>
      </c>
      <c r="T492" s="269" t="e">
        <f t="shared" si="367"/>
        <v>#DIV/0!</v>
      </c>
      <c r="U492" s="234">
        <f t="shared" si="382"/>
        <v>0</v>
      </c>
      <c r="V492" s="232" t="e">
        <f t="shared" si="383"/>
        <v>#DIV/0!</v>
      </c>
      <c r="W492" s="269" t="e">
        <f t="shared" si="384"/>
        <v>#DIV/0!</v>
      </c>
      <c r="X492" s="235">
        <f t="shared" si="362"/>
        <v>0</v>
      </c>
      <c r="Y492" s="236">
        <f t="shared" si="385"/>
        <v>5</v>
      </c>
      <c r="Z492" s="236" t="e">
        <f t="shared" si="386"/>
        <v>#DIV/0!</v>
      </c>
      <c r="AA492" s="236">
        <f t="shared" si="387"/>
        <v>3</v>
      </c>
      <c r="AB492" s="236" t="e">
        <f t="shared" si="388"/>
        <v>#DIV/0!</v>
      </c>
      <c r="AC492" s="235">
        <f t="shared" si="389"/>
        <v>0</v>
      </c>
      <c r="AD492" s="235">
        <f t="shared" si="390"/>
        <v>0</v>
      </c>
      <c r="AE492" s="279">
        <f t="shared" si="391"/>
        <v>0</v>
      </c>
      <c r="AF492" s="232">
        <f t="shared" si="392"/>
        <v>0</v>
      </c>
      <c r="AG492" s="235">
        <f t="shared" si="393"/>
        <v>0</v>
      </c>
      <c r="AH492" s="269">
        <f t="shared" si="394"/>
        <v>0</v>
      </c>
      <c r="AI492" s="232">
        <f t="shared" si="395"/>
        <v>0</v>
      </c>
      <c r="AJ492" s="235">
        <f t="shared" si="396"/>
        <v>0</v>
      </c>
      <c r="AK492" s="269">
        <f t="shared" si="397"/>
        <v>0</v>
      </c>
      <c r="AL492" s="269">
        <f t="shared" si="363"/>
        <v>0</v>
      </c>
      <c r="AM492" s="281" t="e">
        <f>IF(B492&gt;=mpfo,pos*vvm*Dados!$E$122*(ntudv-SUM(U$301:$U493))-SUM($AM$13:AM491),0)</f>
        <v>#DIV/0!</v>
      </c>
      <c r="AN492" s="269" t="e">
        <f t="shared" si="398"/>
        <v>#DIV/0!</v>
      </c>
      <c r="AO492" s="232" t="e">
        <f t="shared" si="399"/>
        <v>#DIV/0!</v>
      </c>
      <c r="AP492" s="242" t="e">
        <f t="shared" si="400"/>
        <v>#DIV/0!</v>
      </c>
      <c r="AQ492" s="235" t="e">
        <f>IF(AP492+SUM($AQ$12:AQ491)&gt;=0,0,-AP492-SUM($AQ$12:AQ491))</f>
        <v>#DIV/0!</v>
      </c>
      <c r="AR492" s="235">
        <f>IF(SUM($N$13:N491)&gt;=pmo,IF(SUM(N491:$N$501)&gt;(1-pmo),B492,0),0)</f>
        <v>0</v>
      </c>
      <c r="AS492" s="235" t="e">
        <f>IF((SUM($U$13:$U491)/ntudv)&gt;=pmv,IF((SUM($U491:$U$501)/ntudv)&gt;(1-pmv),B492,0),0)</f>
        <v>#DIV/0!</v>
      </c>
      <c r="AT492" s="237" t="e">
        <f>IF(MAX(mmo,mmv)=mmo,IF(B492=AR492,(SUM(N$13:$N491)-pmo)/((1-VLOOKUP(MAX(mmo,mmv)-1,$B$13:$O$501,14))+(VLOOKUP(MAX(mmo,mmv)-1,$B$13:$O$501,14)-pmo)),N491/((1-VLOOKUP(MAX(mmo,mmv)-1,$B$13:$O$501,14)+(VLOOKUP(MAX(mmo,mmv)-1,$B$13:$O$501,14)-pmo)))),N491/(1-VLOOKUP(MAX(mmo,mmv)-2,$B$13:$O$501,14)))</f>
        <v>#DIV/0!</v>
      </c>
      <c r="AU492" s="101" t="e">
        <f t="shared" si="364"/>
        <v>#DIV/0!</v>
      </c>
      <c r="AV492" s="287" t="e">
        <f t="shared" si="365"/>
        <v>#DIV/0!</v>
      </c>
      <c r="AW492" s="235" t="e">
        <f t="shared" si="401"/>
        <v>#DIV/0!</v>
      </c>
      <c r="AX492" s="281">
        <f>IF(B492&gt;mpfo,0,IF(B492=mpfo,(vld-teo*(1+tcfo-incc)^(MAX(mmo,mmv)-mbfo))*-1,IF(SUM($N$13:N491)&gt;=pmo,IF(($V491/ntudv)&gt;=pmv,IF(B492=MAX(mmo,mmv),-teo*(1+tcfo-incc)^(B492-mbfo),0),0),0)))</f>
        <v>0</v>
      </c>
      <c r="AY492" s="292" t="e">
        <f t="shared" si="366"/>
        <v>#DIV/0!</v>
      </c>
      <c r="AZ492" s="235" t="e">
        <f t="shared" si="402"/>
        <v>#DIV/0!</v>
      </c>
      <c r="BA492" s="269" t="e">
        <f t="shared" si="403"/>
        <v>#DIV/0!</v>
      </c>
      <c r="BB492" s="292" t="e">
        <f t="shared" si="404"/>
        <v>#DIV/0!</v>
      </c>
      <c r="BC492" s="238" t="e">
        <f>IF(SUM($BC$13:BC491)&gt;0,0,IF(BB492&gt;0,B492,0))</f>
        <v>#DIV/0!</v>
      </c>
      <c r="BD492" s="292" t="e">
        <f>IF(BB492+SUM($BD$12:BD491)&gt;=0,0,-BB492-SUM($BD$12:BD491))</f>
        <v>#DIV/0!</v>
      </c>
      <c r="BE492" s="235" t="e">
        <f>BB492+SUM($BD$12:BD492)</f>
        <v>#DIV/0!</v>
      </c>
      <c r="BF492" s="292" t="e">
        <f>-MIN(BE492:$BE$501)-SUM(BF$12:$BF491)</f>
        <v>#DIV/0!</v>
      </c>
      <c r="BG492" s="235" t="e">
        <f t="shared" si="369"/>
        <v>#DIV/0!</v>
      </c>
    </row>
    <row r="493" spans="2:59">
      <c r="B493" s="120">
        <v>480</v>
      </c>
      <c r="C493" s="241">
        <f t="shared" si="368"/>
        <v>57289</v>
      </c>
      <c r="D493" s="229">
        <f t="shared" si="370"/>
        <v>11</v>
      </c>
      <c r="E493" s="230" t="str">
        <f t="shared" si="371"/>
        <v>-</v>
      </c>
      <c r="F493" s="231">
        <f t="shared" si="372"/>
        <v>0</v>
      </c>
      <c r="G493" s="231">
        <f t="shared" si="373"/>
        <v>0</v>
      </c>
      <c r="H493" s="231">
        <f t="shared" si="374"/>
        <v>0</v>
      </c>
      <c r="I493" s="268">
        <f t="shared" si="359"/>
        <v>0</v>
      </c>
      <c r="J493" s="269">
        <f t="shared" si="375"/>
        <v>0</v>
      </c>
      <c r="K493" s="269">
        <f t="shared" si="376"/>
        <v>0</v>
      </c>
      <c r="L493" s="269">
        <f t="shared" si="360"/>
        <v>0</v>
      </c>
      <c r="M493" s="269">
        <f t="shared" si="361"/>
        <v>0</v>
      </c>
      <c r="N493" s="233">
        <f>VLOOKUP(B493,Dados!$L$86:$P$90,5)</f>
        <v>0</v>
      </c>
      <c r="O493" s="270">
        <f t="shared" si="377"/>
        <v>0.99999999999999989</v>
      </c>
      <c r="P493" s="269">
        <f t="shared" si="378"/>
        <v>0</v>
      </c>
      <c r="Q493" s="269" t="e">
        <f t="shared" si="379"/>
        <v>#DIV/0!</v>
      </c>
      <c r="R493" s="269">
        <f t="shared" si="380"/>
        <v>0</v>
      </c>
      <c r="S493" s="269" t="e">
        <f t="shared" si="381"/>
        <v>#DIV/0!</v>
      </c>
      <c r="T493" s="269" t="e">
        <f t="shared" si="367"/>
        <v>#DIV/0!</v>
      </c>
      <c r="U493" s="234">
        <f t="shared" si="382"/>
        <v>0</v>
      </c>
      <c r="V493" s="232" t="e">
        <f t="shared" si="383"/>
        <v>#DIV/0!</v>
      </c>
      <c r="W493" s="269" t="e">
        <f t="shared" si="384"/>
        <v>#DIV/0!</v>
      </c>
      <c r="X493" s="235">
        <f t="shared" si="362"/>
        <v>0</v>
      </c>
      <c r="Y493" s="236">
        <f t="shared" si="385"/>
        <v>5</v>
      </c>
      <c r="Z493" s="236" t="e">
        <f t="shared" si="386"/>
        <v>#DIV/0!</v>
      </c>
      <c r="AA493" s="236">
        <f t="shared" si="387"/>
        <v>3</v>
      </c>
      <c r="AB493" s="236" t="e">
        <f t="shared" si="388"/>
        <v>#DIV/0!</v>
      </c>
      <c r="AC493" s="235">
        <f t="shared" si="389"/>
        <v>0</v>
      </c>
      <c r="AD493" s="235">
        <f t="shared" si="390"/>
        <v>0</v>
      </c>
      <c r="AE493" s="279">
        <f t="shared" si="391"/>
        <v>0</v>
      </c>
      <c r="AF493" s="232">
        <f t="shared" si="392"/>
        <v>0</v>
      </c>
      <c r="AG493" s="235">
        <f t="shared" si="393"/>
        <v>0</v>
      </c>
      <c r="AH493" s="269">
        <f t="shared" si="394"/>
        <v>0</v>
      </c>
      <c r="AI493" s="232">
        <f t="shared" si="395"/>
        <v>0</v>
      </c>
      <c r="AJ493" s="235">
        <f t="shared" si="396"/>
        <v>0</v>
      </c>
      <c r="AK493" s="269">
        <f t="shared" si="397"/>
        <v>0</v>
      </c>
      <c r="AL493" s="269">
        <f t="shared" si="363"/>
        <v>0</v>
      </c>
      <c r="AM493" s="281" t="e">
        <f>IF(B493&gt;=mpfo,pos*vvm*Dados!$E$122*(ntudv-SUM(U$301:$U494))-SUM($AM$13:AM492),0)</f>
        <v>#DIV/0!</v>
      </c>
      <c r="AN493" s="269" t="e">
        <f t="shared" si="398"/>
        <v>#DIV/0!</v>
      </c>
      <c r="AO493" s="232" t="e">
        <f t="shared" si="399"/>
        <v>#DIV/0!</v>
      </c>
      <c r="AP493" s="242" t="e">
        <f t="shared" si="400"/>
        <v>#DIV/0!</v>
      </c>
      <c r="AQ493" s="235" t="e">
        <f>IF(AP493+SUM($AQ$12:AQ492)&gt;=0,0,-AP493-SUM($AQ$12:AQ492))</f>
        <v>#DIV/0!</v>
      </c>
      <c r="AR493" s="235">
        <f>IF(SUM($N$13:N492)&gt;=pmo,IF(SUM(N492:$N$501)&gt;(1-pmo),B493,0),0)</f>
        <v>0</v>
      </c>
      <c r="AS493" s="235" t="e">
        <f>IF((SUM($U$13:$U492)/ntudv)&gt;=pmv,IF((SUM($U492:$U$501)/ntudv)&gt;(1-pmv),B493,0),0)</f>
        <v>#DIV/0!</v>
      </c>
      <c r="AT493" s="237" t="e">
        <f>IF(MAX(mmo,mmv)=mmo,IF(B493=AR493,(SUM(N$13:$N492)-pmo)/((1-VLOOKUP(MAX(mmo,mmv)-1,$B$13:$O$501,14))+(VLOOKUP(MAX(mmo,mmv)-1,$B$13:$O$501,14)-pmo)),N492/((1-VLOOKUP(MAX(mmo,mmv)-1,$B$13:$O$501,14)+(VLOOKUP(MAX(mmo,mmv)-1,$B$13:$O$501,14)-pmo)))),N492/(1-VLOOKUP(MAX(mmo,mmv)-2,$B$13:$O$501,14)))</f>
        <v>#DIV/0!</v>
      </c>
      <c r="AU493" s="101" t="e">
        <f t="shared" si="364"/>
        <v>#DIV/0!</v>
      </c>
      <c r="AV493" s="287" t="e">
        <f t="shared" si="365"/>
        <v>#DIV/0!</v>
      </c>
      <c r="AW493" s="235" t="e">
        <f t="shared" si="401"/>
        <v>#DIV/0!</v>
      </c>
      <c r="AX493" s="281">
        <f>IF(B493&gt;mpfo,0,IF(B493=mpfo,(vld-teo*(1+tcfo-incc)^(MAX(mmo,mmv)-mbfo))*-1,IF(SUM($N$13:N492)&gt;=pmo,IF(($V492/ntudv)&gt;=pmv,IF(B493=MAX(mmo,mmv),-teo*(1+tcfo-incc)^(B493-mbfo),0),0),0)))</f>
        <v>0</v>
      </c>
      <c r="AY493" s="292" t="e">
        <f t="shared" si="366"/>
        <v>#DIV/0!</v>
      </c>
      <c r="AZ493" s="235" t="e">
        <f t="shared" si="402"/>
        <v>#DIV/0!</v>
      </c>
      <c r="BA493" s="269" t="e">
        <f t="shared" si="403"/>
        <v>#DIV/0!</v>
      </c>
      <c r="BB493" s="292" t="e">
        <f t="shared" si="404"/>
        <v>#DIV/0!</v>
      </c>
      <c r="BC493" s="238" t="e">
        <f>IF(SUM($BC$13:BC492)&gt;0,0,IF(BB493&gt;0,B493,0))</f>
        <v>#DIV/0!</v>
      </c>
      <c r="BD493" s="292" t="e">
        <f>IF(BB493+SUM($BD$12:BD492)&gt;=0,0,-BB493-SUM($BD$12:BD492))</f>
        <v>#DIV/0!</v>
      </c>
      <c r="BE493" s="235" t="e">
        <f>BB493+SUM($BD$12:BD493)</f>
        <v>#DIV/0!</v>
      </c>
      <c r="BF493" s="292" t="e">
        <f>-MIN(BE493:$BE$501)-SUM(BF$12:$BF492)</f>
        <v>#DIV/0!</v>
      </c>
      <c r="BG493" s="235" t="e">
        <f t="shared" si="369"/>
        <v>#DIV/0!</v>
      </c>
    </row>
    <row r="494" spans="2:59">
      <c r="B494" s="246">
        <v>481</v>
      </c>
      <c r="C494" s="241">
        <f t="shared" si="368"/>
        <v>57319</v>
      </c>
      <c r="D494" s="229">
        <f t="shared" si="370"/>
        <v>12</v>
      </c>
      <c r="E494" s="230" t="str">
        <f t="shared" si="371"/>
        <v>-</v>
      </c>
      <c r="F494" s="231">
        <f t="shared" si="372"/>
        <v>0</v>
      </c>
      <c r="G494" s="231">
        <f t="shared" si="373"/>
        <v>0</v>
      </c>
      <c r="H494" s="231">
        <f t="shared" si="374"/>
        <v>0</v>
      </c>
      <c r="I494" s="268">
        <f t="shared" si="359"/>
        <v>0</v>
      </c>
      <c r="J494" s="269">
        <f t="shared" si="375"/>
        <v>0</v>
      </c>
      <c r="K494" s="269">
        <f t="shared" si="376"/>
        <v>0</v>
      </c>
      <c r="L494" s="269">
        <f t="shared" si="360"/>
        <v>0</v>
      </c>
      <c r="M494" s="269">
        <f t="shared" si="361"/>
        <v>0</v>
      </c>
      <c r="N494" s="233">
        <f>VLOOKUP(B494,Dados!$L$86:$P$90,5)</f>
        <v>0</v>
      </c>
      <c r="O494" s="270">
        <f t="shared" si="377"/>
        <v>0.99999999999999989</v>
      </c>
      <c r="P494" s="269">
        <f t="shared" si="378"/>
        <v>0</v>
      </c>
      <c r="Q494" s="269" t="e">
        <f t="shared" si="379"/>
        <v>#DIV/0!</v>
      </c>
      <c r="R494" s="269">
        <f t="shared" si="380"/>
        <v>0</v>
      </c>
      <c r="S494" s="269" t="e">
        <f t="shared" si="381"/>
        <v>#DIV/0!</v>
      </c>
      <c r="T494" s="269" t="e">
        <f t="shared" si="367"/>
        <v>#DIV/0!</v>
      </c>
      <c r="U494" s="234">
        <f t="shared" si="382"/>
        <v>0</v>
      </c>
      <c r="V494" s="232" t="e">
        <f t="shared" si="383"/>
        <v>#DIV/0!</v>
      </c>
      <c r="W494" s="269" t="e">
        <f t="shared" si="384"/>
        <v>#DIV/0!</v>
      </c>
      <c r="X494" s="235">
        <f t="shared" si="362"/>
        <v>0</v>
      </c>
      <c r="Y494" s="236">
        <f t="shared" si="385"/>
        <v>5</v>
      </c>
      <c r="Z494" s="236" t="e">
        <f t="shared" si="386"/>
        <v>#DIV/0!</v>
      </c>
      <c r="AA494" s="236">
        <f t="shared" si="387"/>
        <v>3</v>
      </c>
      <c r="AB494" s="236" t="e">
        <f t="shared" si="388"/>
        <v>#DIV/0!</v>
      </c>
      <c r="AC494" s="235">
        <f t="shared" si="389"/>
        <v>0</v>
      </c>
      <c r="AD494" s="235">
        <f t="shared" si="390"/>
        <v>0</v>
      </c>
      <c r="AE494" s="279">
        <f t="shared" si="391"/>
        <v>0</v>
      </c>
      <c r="AF494" s="232">
        <f t="shared" si="392"/>
        <v>1</v>
      </c>
      <c r="AG494" s="235">
        <f t="shared" si="393"/>
        <v>0</v>
      </c>
      <c r="AH494" s="269">
        <f t="shared" si="394"/>
        <v>0</v>
      </c>
      <c r="AI494" s="232">
        <f t="shared" si="395"/>
        <v>1</v>
      </c>
      <c r="AJ494" s="235">
        <f t="shared" si="396"/>
        <v>0</v>
      </c>
      <c r="AK494" s="269">
        <f t="shared" si="397"/>
        <v>0</v>
      </c>
      <c r="AL494" s="269">
        <f t="shared" si="363"/>
        <v>0</v>
      </c>
      <c r="AM494" s="281" t="e">
        <f>IF(B494&gt;=mpfo,pos*vvm*Dados!$E$122*(ntudv-SUM(U$301:$U495))-SUM($AM$13:AM493),0)</f>
        <v>#DIV/0!</v>
      </c>
      <c r="AN494" s="269" t="e">
        <f t="shared" si="398"/>
        <v>#DIV/0!</v>
      </c>
      <c r="AO494" s="232" t="e">
        <f t="shared" si="399"/>
        <v>#DIV/0!</v>
      </c>
      <c r="AP494" s="242" t="e">
        <f t="shared" si="400"/>
        <v>#DIV/0!</v>
      </c>
      <c r="AQ494" s="235" t="e">
        <f>IF(AP494+SUM($AQ$12:AQ493)&gt;=0,0,-AP494-SUM($AQ$12:AQ493))</f>
        <v>#DIV/0!</v>
      </c>
      <c r="AR494" s="235">
        <f>IF(SUM($N$13:N493)&gt;=pmo,IF(SUM(N493:$N$501)&gt;(1-pmo),B494,0),0)</f>
        <v>0</v>
      </c>
      <c r="AS494" s="235" t="e">
        <f>IF((SUM($U$13:$U493)/ntudv)&gt;=pmv,IF((SUM($U493:$U$501)/ntudv)&gt;(1-pmv),B494,0),0)</f>
        <v>#DIV/0!</v>
      </c>
      <c r="AT494" s="237" t="e">
        <f>IF(MAX(mmo,mmv)=mmo,IF(B494=AR494,(SUM(N$13:$N493)-pmo)/((1-VLOOKUP(MAX(mmo,mmv)-1,$B$13:$O$501,14))+(VLOOKUP(MAX(mmo,mmv)-1,$B$13:$O$501,14)-pmo)),N493/((1-VLOOKUP(MAX(mmo,mmv)-1,$B$13:$O$501,14)+(VLOOKUP(MAX(mmo,mmv)-1,$B$13:$O$501,14)-pmo)))),N493/(1-VLOOKUP(MAX(mmo,mmv)-2,$B$13:$O$501,14)))</f>
        <v>#DIV/0!</v>
      </c>
      <c r="AU494" s="101" t="e">
        <f t="shared" si="364"/>
        <v>#DIV/0!</v>
      </c>
      <c r="AV494" s="287" t="e">
        <f t="shared" si="365"/>
        <v>#DIV/0!</v>
      </c>
      <c r="AW494" s="235" t="e">
        <f t="shared" si="401"/>
        <v>#DIV/0!</v>
      </c>
      <c r="AX494" s="281">
        <f>IF(B494&gt;mpfo,0,IF(B494=mpfo,(vld-teo*(1+tcfo-incc)^(MAX(mmo,mmv)-mbfo))*-1,IF(SUM($N$13:N493)&gt;=pmo,IF(($V493/ntudv)&gt;=pmv,IF(B494=MAX(mmo,mmv),-teo*(1+tcfo-incc)^(B494-mbfo),0),0),0)))</f>
        <v>0</v>
      </c>
      <c r="AY494" s="292" t="e">
        <f t="shared" si="366"/>
        <v>#DIV/0!</v>
      </c>
      <c r="AZ494" s="235" t="e">
        <f t="shared" si="402"/>
        <v>#DIV/0!</v>
      </c>
      <c r="BA494" s="269" t="e">
        <f t="shared" si="403"/>
        <v>#DIV/0!</v>
      </c>
      <c r="BB494" s="292" t="e">
        <f t="shared" si="404"/>
        <v>#DIV/0!</v>
      </c>
      <c r="BC494" s="238" t="e">
        <f>IF(SUM($BC$13:BC493)&gt;0,0,IF(BB494&gt;0,B494,0))</f>
        <v>#DIV/0!</v>
      </c>
      <c r="BD494" s="292" t="e">
        <f>IF(BB494+SUM($BD$12:BD493)&gt;=0,0,-BB494-SUM($BD$12:BD493))</f>
        <v>#DIV/0!</v>
      </c>
      <c r="BE494" s="235" t="e">
        <f>BB494+SUM($BD$12:BD494)</f>
        <v>#DIV/0!</v>
      </c>
      <c r="BF494" s="292" t="e">
        <f>-MIN(BE494:$BE$501)-SUM(BF$12:$BF493)</f>
        <v>#DIV/0!</v>
      </c>
      <c r="BG494" s="235" t="e">
        <f t="shared" si="369"/>
        <v>#DIV/0!</v>
      </c>
    </row>
    <row r="495" spans="2:59">
      <c r="B495" s="120">
        <v>482</v>
      </c>
      <c r="C495" s="241">
        <f t="shared" si="368"/>
        <v>57350</v>
      </c>
      <c r="D495" s="229">
        <f t="shared" si="370"/>
        <v>1</v>
      </c>
      <c r="E495" s="230" t="str">
        <f t="shared" si="371"/>
        <v>-</v>
      </c>
      <c r="F495" s="231">
        <f t="shared" si="372"/>
        <v>0</v>
      </c>
      <c r="G495" s="231">
        <f t="shared" si="373"/>
        <v>0</v>
      </c>
      <c r="H495" s="231">
        <f t="shared" si="374"/>
        <v>0</v>
      </c>
      <c r="I495" s="268">
        <f t="shared" si="359"/>
        <v>0</v>
      </c>
      <c r="J495" s="269">
        <f t="shared" si="375"/>
        <v>0</v>
      </c>
      <c r="K495" s="269">
        <f t="shared" si="376"/>
        <v>0</v>
      </c>
      <c r="L495" s="269">
        <f t="shared" si="360"/>
        <v>0</v>
      </c>
      <c r="M495" s="269">
        <f t="shared" si="361"/>
        <v>0</v>
      </c>
      <c r="N495" s="233">
        <f>VLOOKUP(B495,Dados!$L$86:$P$90,5)</f>
        <v>0</v>
      </c>
      <c r="O495" s="270">
        <f t="shared" si="377"/>
        <v>0.99999999999999989</v>
      </c>
      <c r="P495" s="269">
        <f t="shared" si="378"/>
        <v>0</v>
      </c>
      <c r="Q495" s="269" t="e">
        <f t="shared" si="379"/>
        <v>#DIV/0!</v>
      </c>
      <c r="R495" s="269">
        <f t="shared" si="380"/>
        <v>0</v>
      </c>
      <c r="S495" s="269" t="e">
        <f t="shared" si="381"/>
        <v>#DIV/0!</v>
      </c>
      <c r="T495" s="269" t="e">
        <f t="shared" si="367"/>
        <v>#DIV/0!</v>
      </c>
      <c r="U495" s="234">
        <f t="shared" si="382"/>
        <v>0</v>
      </c>
      <c r="V495" s="232" t="e">
        <f t="shared" si="383"/>
        <v>#DIV/0!</v>
      </c>
      <c r="W495" s="269" t="e">
        <f t="shared" si="384"/>
        <v>#DIV/0!</v>
      </c>
      <c r="X495" s="235">
        <f t="shared" si="362"/>
        <v>0</v>
      </c>
      <c r="Y495" s="236">
        <f t="shared" si="385"/>
        <v>5</v>
      </c>
      <c r="Z495" s="236" t="e">
        <f t="shared" si="386"/>
        <v>#DIV/0!</v>
      </c>
      <c r="AA495" s="236">
        <f t="shared" si="387"/>
        <v>3</v>
      </c>
      <c r="AB495" s="236" t="e">
        <f t="shared" si="388"/>
        <v>#DIV/0!</v>
      </c>
      <c r="AC495" s="235">
        <f t="shared" si="389"/>
        <v>0</v>
      </c>
      <c r="AD495" s="235">
        <f t="shared" si="390"/>
        <v>0</v>
      </c>
      <c r="AE495" s="279">
        <f t="shared" si="391"/>
        <v>0</v>
      </c>
      <c r="AF495" s="232">
        <f t="shared" si="392"/>
        <v>0</v>
      </c>
      <c r="AG495" s="235">
        <f t="shared" si="393"/>
        <v>0</v>
      </c>
      <c r="AH495" s="269">
        <f t="shared" si="394"/>
        <v>0</v>
      </c>
      <c r="AI495" s="232">
        <f t="shared" si="395"/>
        <v>0</v>
      </c>
      <c r="AJ495" s="235">
        <f t="shared" si="396"/>
        <v>0</v>
      </c>
      <c r="AK495" s="269">
        <f t="shared" si="397"/>
        <v>0</v>
      </c>
      <c r="AL495" s="269">
        <f t="shared" si="363"/>
        <v>0</v>
      </c>
      <c r="AM495" s="281" t="e">
        <f>IF(B495&gt;=mpfo,pos*vvm*Dados!$E$122*(ntudv-SUM(U$301:$U496))-SUM($AM$13:AM494),0)</f>
        <v>#DIV/0!</v>
      </c>
      <c r="AN495" s="269" t="e">
        <f t="shared" si="398"/>
        <v>#DIV/0!</v>
      </c>
      <c r="AO495" s="232" t="e">
        <f t="shared" si="399"/>
        <v>#DIV/0!</v>
      </c>
      <c r="AP495" s="242" t="e">
        <f t="shared" si="400"/>
        <v>#DIV/0!</v>
      </c>
      <c r="AQ495" s="235" t="e">
        <f>IF(AP495+SUM($AQ$12:AQ494)&gt;=0,0,-AP495-SUM($AQ$12:AQ494))</f>
        <v>#DIV/0!</v>
      </c>
      <c r="AR495" s="235">
        <f>IF(SUM($N$13:N494)&gt;=pmo,IF(SUM(N494:$N$501)&gt;(1-pmo),B495,0),0)</f>
        <v>0</v>
      </c>
      <c r="AS495" s="235" t="e">
        <f>IF((SUM($U$13:$U494)/ntudv)&gt;=pmv,IF((SUM($U494:$U$501)/ntudv)&gt;(1-pmv),B495,0),0)</f>
        <v>#DIV/0!</v>
      </c>
      <c r="AT495" s="237" t="e">
        <f>IF(MAX(mmo,mmv)=mmo,IF(B495=AR495,(SUM(N$13:$N494)-pmo)/((1-VLOOKUP(MAX(mmo,mmv)-1,$B$13:$O$501,14))+(VLOOKUP(MAX(mmo,mmv)-1,$B$13:$O$501,14)-pmo)),N494/((1-VLOOKUP(MAX(mmo,mmv)-1,$B$13:$O$501,14)+(VLOOKUP(MAX(mmo,mmv)-1,$B$13:$O$501,14)-pmo)))),N494/(1-VLOOKUP(MAX(mmo,mmv)-2,$B$13:$O$501,14)))</f>
        <v>#DIV/0!</v>
      </c>
      <c r="AU495" s="101" t="e">
        <f t="shared" si="364"/>
        <v>#DIV/0!</v>
      </c>
      <c r="AV495" s="287" t="e">
        <f t="shared" si="365"/>
        <v>#DIV/0!</v>
      </c>
      <c r="AW495" s="235" t="e">
        <f t="shared" si="401"/>
        <v>#DIV/0!</v>
      </c>
      <c r="AX495" s="281">
        <f>IF(B495&gt;mpfo,0,IF(B495=mpfo,(vld-teo*(1+tcfo-incc)^(MAX(mmo,mmv)-mbfo))*-1,IF(SUM($N$13:N494)&gt;=pmo,IF(($V494/ntudv)&gt;=pmv,IF(B495=MAX(mmo,mmv),-teo*(1+tcfo-incc)^(B495-mbfo),0),0),0)))</f>
        <v>0</v>
      </c>
      <c r="AY495" s="292" t="e">
        <f t="shared" si="366"/>
        <v>#DIV/0!</v>
      </c>
      <c r="AZ495" s="235" t="e">
        <f t="shared" si="402"/>
        <v>#DIV/0!</v>
      </c>
      <c r="BA495" s="269" t="e">
        <f t="shared" si="403"/>
        <v>#DIV/0!</v>
      </c>
      <c r="BB495" s="292" t="e">
        <f t="shared" si="404"/>
        <v>#DIV/0!</v>
      </c>
      <c r="BC495" s="238" t="e">
        <f>IF(SUM($BC$13:BC494)&gt;0,0,IF(BB495&gt;0,B495,0))</f>
        <v>#DIV/0!</v>
      </c>
      <c r="BD495" s="292" t="e">
        <f>IF(BB495+SUM($BD$12:BD494)&gt;=0,0,-BB495-SUM($BD$12:BD494))</f>
        <v>#DIV/0!</v>
      </c>
      <c r="BE495" s="235" t="e">
        <f>BB495+SUM($BD$12:BD495)</f>
        <v>#DIV/0!</v>
      </c>
      <c r="BF495" s="292" t="e">
        <f>-MIN(BE495:$BE$501)-SUM(BF$12:$BF494)</f>
        <v>#DIV/0!</v>
      </c>
      <c r="BG495" s="235" t="e">
        <f t="shared" si="369"/>
        <v>#DIV/0!</v>
      </c>
    </row>
    <row r="496" spans="2:59">
      <c r="B496" s="246">
        <v>483</v>
      </c>
      <c r="C496" s="241">
        <f t="shared" si="368"/>
        <v>57381</v>
      </c>
      <c r="D496" s="229">
        <f t="shared" si="370"/>
        <v>2</v>
      </c>
      <c r="E496" s="230" t="str">
        <f t="shared" si="371"/>
        <v>-</v>
      </c>
      <c r="F496" s="231">
        <f t="shared" si="372"/>
        <v>0</v>
      </c>
      <c r="G496" s="231">
        <f t="shared" si="373"/>
        <v>0</v>
      </c>
      <c r="H496" s="231">
        <f t="shared" si="374"/>
        <v>0</v>
      </c>
      <c r="I496" s="268">
        <f t="shared" si="359"/>
        <v>0</v>
      </c>
      <c r="J496" s="269">
        <f t="shared" si="375"/>
        <v>0</v>
      </c>
      <c r="K496" s="269">
        <f t="shared" si="376"/>
        <v>0</v>
      </c>
      <c r="L496" s="269">
        <f t="shared" si="360"/>
        <v>0</v>
      </c>
      <c r="M496" s="269">
        <f t="shared" si="361"/>
        <v>0</v>
      </c>
      <c r="N496" s="233">
        <f>VLOOKUP(B496,Dados!$L$86:$P$90,5)</f>
        <v>0</v>
      </c>
      <c r="O496" s="270">
        <f t="shared" si="377"/>
        <v>0.99999999999999989</v>
      </c>
      <c r="P496" s="269">
        <f t="shared" si="378"/>
        <v>0</v>
      </c>
      <c r="Q496" s="269" t="e">
        <f t="shared" si="379"/>
        <v>#DIV/0!</v>
      </c>
      <c r="R496" s="269">
        <f t="shared" si="380"/>
        <v>0</v>
      </c>
      <c r="S496" s="269" t="e">
        <f t="shared" si="381"/>
        <v>#DIV/0!</v>
      </c>
      <c r="T496" s="269" t="e">
        <f t="shared" si="367"/>
        <v>#DIV/0!</v>
      </c>
      <c r="U496" s="234">
        <f t="shared" si="382"/>
        <v>0</v>
      </c>
      <c r="V496" s="232" t="e">
        <f t="shared" si="383"/>
        <v>#DIV/0!</v>
      </c>
      <c r="W496" s="269" t="e">
        <f t="shared" si="384"/>
        <v>#DIV/0!</v>
      </c>
      <c r="X496" s="235">
        <f t="shared" si="362"/>
        <v>0</v>
      </c>
      <c r="Y496" s="236">
        <f t="shared" si="385"/>
        <v>5</v>
      </c>
      <c r="Z496" s="236" t="e">
        <f t="shared" si="386"/>
        <v>#DIV/0!</v>
      </c>
      <c r="AA496" s="236">
        <f t="shared" si="387"/>
        <v>3</v>
      </c>
      <c r="AB496" s="236" t="e">
        <f t="shared" si="388"/>
        <v>#DIV/0!</v>
      </c>
      <c r="AC496" s="235">
        <f t="shared" si="389"/>
        <v>0</v>
      </c>
      <c r="AD496" s="235">
        <f t="shared" si="390"/>
        <v>0</v>
      </c>
      <c r="AE496" s="279">
        <f t="shared" si="391"/>
        <v>0</v>
      </c>
      <c r="AF496" s="232">
        <f t="shared" si="392"/>
        <v>0</v>
      </c>
      <c r="AG496" s="235">
        <f t="shared" si="393"/>
        <v>0</v>
      </c>
      <c r="AH496" s="269">
        <f t="shared" si="394"/>
        <v>0</v>
      </c>
      <c r="AI496" s="232">
        <f t="shared" si="395"/>
        <v>0</v>
      </c>
      <c r="AJ496" s="235">
        <f t="shared" si="396"/>
        <v>0</v>
      </c>
      <c r="AK496" s="269">
        <f t="shared" si="397"/>
        <v>0</v>
      </c>
      <c r="AL496" s="269">
        <f t="shared" si="363"/>
        <v>0</v>
      </c>
      <c r="AM496" s="281" t="e">
        <f>IF(B496&gt;=mpfo,pos*vvm*Dados!$E$122*(ntudv-SUM(U$301:$U497))-SUM($AM$13:AM495),0)</f>
        <v>#DIV/0!</v>
      </c>
      <c r="AN496" s="269" t="e">
        <f t="shared" si="398"/>
        <v>#DIV/0!</v>
      </c>
      <c r="AO496" s="232" t="e">
        <f t="shared" si="399"/>
        <v>#DIV/0!</v>
      </c>
      <c r="AP496" s="242" t="e">
        <f t="shared" si="400"/>
        <v>#DIV/0!</v>
      </c>
      <c r="AQ496" s="235" t="e">
        <f>IF(AP496+SUM($AQ$12:AQ495)&gt;=0,0,-AP496-SUM($AQ$12:AQ495))</f>
        <v>#DIV/0!</v>
      </c>
      <c r="AR496" s="235">
        <f>IF(SUM($N$13:N495)&gt;=pmo,IF(SUM(N495:$N$501)&gt;(1-pmo),B496,0),0)</f>
        <v>0</v>
      </c>
      <c r="AS496" s="235" t="e">
        <f>IF((SUM($U$13:$U495)/ntudv)&gt;=pmv,IF((SUM($U495:$U$501)/ntudv)&gt;(1-pmv),B496,0),0)</f>
        <v>#DIV/0!</v>
      </c>
      <c r="AT496" s="237" t="e">
        <f>IF(MAX(mmo,mmv)=mmo,IF(B496=AR496,(SUM(N$13:$N495)-pmo)/((1-VLOOKUP(MAX(mmo,mmv)-1,$B$13:$O$501,14))+(VLOOKUP(MAX(mmo,mmv)-1,$B$13:$O$501,14)-pmo)),N495/((1-VLOOKUP(MAX(mmo,mmv)-1,$B$13:$O$501,14)+(VLOOKUP(MAX(mmo,mmv)-1,$B$13:$O$501,14)-pmo)))),N495/(1-VLOOKUP(MAX(mmo,mmv)-2,$B$13:$O$501,14)))</f>
        <v>#DIV/0!</v>
      </c>
      <c r="AU496" s="101" t="e">
        <f t="shared" si="364"/>
        <v>#DIV/0!</v>
      </c>
      <c r="AV496" s="287" t="e">
        <f t="shared" si="365"/>
        <v>#DIV/0!</v>
      </c>
      <c r="AW496" s="235" t="e">
        <f t="shared" si="401"/>
        <v>#DIV/0!</v>
      </c>
      <c r="AX496" s="281">
        <f>IF(B496&gt;mpfo,0,IF(B496=mpfo,(vld-teo*(1+tcfo-incc)^(MAX(mmo,mmv)-mbfo))*-1,IF(SUM($N$13:N495)&gt;=pmo,IF(($V495/ntudv)&gt;=pmv,IF(B496=MAX(mmo,mmv),-teo*(1+tcfo-incc)^(B496-mbfo),0),0),0)))</f>
        <v>0</v>
      </c>
      <c r="AY496" s="292" t="e">
        <f t="shared" si="366"/>
        <v>#DIV/0!</v>
      </c>
      <c r="AZ496" s="235" t="e">
        <f t="shared" si="402"/>
        <v>#DIV/0!</v>
      </c>
      <c r="BA496" s="269" t="e">
        <f t="shared" si="403"/>
        <v>#DIV/0!</v>
      </c>
      <c r="BB496" s="292" t="e">
        <f t="shared" si="404"/>
        <v>#DIV/0!</v>
      </c>
      <c r="BC496" s="238" t="e">
        <f>IF(SUM($BC$13:BC495)&gt;0,0,IF(BB496&gt;0,B496,0))</f>
        <v>#DIV/0!</v>
      </c>
      <c r="BD496" s="292" t="e">
        <f>IF(BB496+SUM($BD$12:BD495)&gt;=0,0,-BB496-SUM($BD$12:BD495))</f>
        <v>#DIV/0!</v>
      </c>
      <c r="BE496" s="235" t="e">
        <f>BB496+SUM($BD$12:BD496)</f>
        <v>#DIV/0!</v>
      </c>
      <c r="BF496" s="292" t="e">
        <f>-MIN(BE496:$BE$501)-SUM(BF$12:$BF495)</f>
        <v>#DIV/0!</v>
      </c>
      <c r="BG496" s="235" t="e">
        <f t="shared" si="369"/>
        <v>#DIV/0!</v>
      </c>
    </row>
    <row r="497" spans="2:59">
      <c r="B497" s="120">
        <v>484</v>
      </c>
      <c r="C497" s="241">
        <f t="shared" si="368"/>
        <v>57409</v>
      </c>
      <c r="D497" s="229">
        <f t="shared" si="370"/>
        <v>3</v>
      </c>
      <c r="E497" s="230" t="str">
        <f t="shared" si="371"/>
        <v>-</v>
      </c>
      <c r="F497" s="231">
        <f t="shared" si="372"/>
        <v>0</v>
      </c>
      <c r="G497" s="231">
        <f t="shared" si="373"/>
        <v>0</v>
      </c>
      <c r="H497" s="231">
        <f t="shared" si="374"/>
        <v>0</v>
      </c>
      <c r="I497" s="268">
        <f t="shared" si="359"/>
        <v>0</v>
      </c>
      <c r="J497" s="269">
        <f t="shared" si="375"/>
        <v>0</v>
      </c>
      <c r="K497" s="269">
        <f t="shared" si="376"/>
        <v>0</v>
      </c>
      <c r="L497" s="269">
        <f t="shared" si="360"/>
        <v>0</v>
      </c>
      <c r="M497" s="269">
        <f t="shared" si="361"/>
        <v>0</v>
      </c>
      <c r="N497" s="233">
        <f>VLOOKUP(B497,Dados!$L$86:$P$90,5)</f>
        <v>0</v>
      </c>
      <c r="O497" s="270">
        <f t="shared" si="377"/>
        <v>0.99999999999999989</v>
      </c>
      <c r="P497" s="269">
        <f t="shared" si="378"/>
        <v>0</v>
      </c>
      <c r="Q497" s="269" t="e">
        <f t="shared" si="379"/>
        <v>#DIV/0!</v>
      </c>
      <c r="R497" s="269">
        <f t="shared" si="380"/>
        <v>0</v>
      </c>
      <c r="S497" s="269" t="e">
        <f t="shared" si="381"/>
        <v>#DIV/0!</v>
      </c>
      <c r="T497" s="269" t="e">
        <f t="shared" si="367"/>
        <v>#DIV/0!</v>
      </c>
      <c r="U497" s="234">
        <f t="shared" si="382"/>
        <v>0</v>
      </c>
      <c r="V497" s="232" t="e">
        <f t="shared" si="383"/>
        <v>#DIV/0!</v>
      </c>
      <c r="W497" s="269" t="e">
        <f t="shared" si="384"/>
        <v>#DIV/0!</v>
      </c>
      <c r="X497" s="235">
        <f t="shared" si="362"/>
        <v>0</v>
      </c>
      <c r="Y497" s="236">
        <f t="shared" si="385"/>
        <v>5</v>
      </c>
      <c r="Z497" s="236" t="e">
        <f t="shared" si="386"/>
        <v>#DIV/0!</v>
      </c>
      <c r="AA497" s="236">
        <f t="shared" si="387"/>
        <v>3</v>
      </c>
      <c r="AB497" s="236" t="e">
        <f t="shared" si="388"/>
        <v>#DIV/0!</v>
      </c>
      <c r="AC497" s="235">
        <f t="shared" si="389"/>
        <v>0</v>
      </c>
      <c r="AD497" s="235">
        <f t="shared" si="390"/>
        <v>0</v>
      </c>
      <c r="AE497" s="279">
        <f t="shared" si="391"/>
        <v>0</v>
      </c>
      <c r="AF497" s="232">
        <f t="shared" si="392"/>
        <v>0</v>
      </c>
      <c r="AG497" s="235">
        <f t="shared" si="393"/>
        <v>0</v>
      </c>
      <c r="AH497" s="269">
        <f t="shared" si="394"/>
        <v>0</v>
      </c>
      <c r="AI497" s="232">
        <f t="shared" si="395"/>
        <v>0</v>
      </c>
      <c r="AJ497" s="235">
        <f t="shared" si="396"/>
        <v>0</v>
      </c>
      <c r="AK497" s="269">
        <f t="shared" si="397"/>
        <v>0</v>
      </c>
      <c r="AL497" s="269">
        <f t="shared" si="363"/>
        <v>0</v>
      </c>
      <c r="AM497" s="281" t="e">
        <f>IF(B497&gt;=mpfo,pos*vvm*Dados!$E$122*(ntudv-SUM(U$301:$U498))-SUM($AM$13:AM496),0)</f>
        <v>#DIV/0!</v>
      </c>
      <c r="AN497" s="269" t="e">
        <f t="shared" si="398"/>
        <v>#DIV/0!</v>
      </c>
      <c r="AO497" s="232" t="e">
        <f t="shared" si="399"/>
        <v>#DIV/0!</v>
      </c>
      <c r="AP497" s="242" t="e">
        <f t="shared" si="400"/>
        <v>#DIV/0!</v>
      </c>
      <c r="AQ497" s="235" t="e">
        <f>IF(AP497+SUM($AQ$12:AQ496)&gt;=0,0,-AP497-SUM($AQ$12:AQ496))</f>
        <v>#DIV/0!</v>
      </c>
      <c r="AR497" s="235">
        <f>IF(SUM($N$13:N496)&gt;=pmo,IF(SUM(N496:$N$501)&gt;(1-pmo),B497,0),0)</f>
        <v>0</v>
      </c>
      <c r="AS497" s="235" t="e">
        <f>IF((SUM($U$13:$U496)/ntudv)&gt;=pmv,IF((SUM($U496:$U$501)/ntudv)&gt;(1-pmv),B497,0),0)</f>
        <v>#DIV/0!</v>
      </c>
      <c r="AT497" s="237" t="e">
        <f>IF(MAX(mmo,mmv)=mmo,IF(B497=AR497,(SUM(N$13:$N496)-pmo)/((1-VLOOKUP(MAX(mmo,mmv)-1,$B$13:$O$501,14))+(VLOOKUP(MAX(mmo,mmv)-1,$B$13:$O$501,14)-pmo)),N496/((1-VLOOKUP(MAX(mmo,mmv)-1,$B$13:$O$501,14)+(VLOOKUP(MAX(mmo,mmv)-1,$B$13:$O$501,14)-pmo)))),N496/(1-VLOOKUP(MAX(mmo,mmv)-2,$B$13:$O$501,14)))</f>
        <v>#DIV/0!</v>
      </c>
      <c r="AU497" s="101" t="e">
        <f t="shared" si="364"/>
        <v>#DIV/0!</v>
      </c>
      <c r="AV497" s="287" t="e">
        <f t="shared" si="365"/>
        <v>#DIV/0!</v>
      </c>
      <c r="AW497" s="235" t="e">
        <f t="shared" si="401"/>
        <v>#DIV/0!</v>
      </c>
      <c r="AX497" s="281">
        <f>IF(B497&gt;mpfo,0,IF(B497=mpfo,(vld-teo*(1+tcfo-incc)^(MAX(mmo,mmv)-mbfo))*-1,IF(SUM($N$13:N496)&gt;=pmo,IF(($V496/ntudv)&gt;=pmv,IF(B497=MAX(mmo,mmv),-teo*(1+tcfo-incc)^(B497-mbfo),0),0),0)))</f>
        <v>0</v>
      </c>
      <c r="AY497" s="292" t="e">
        <f t="shared" si="366"/>
        <v>#DIV/0!</v>
      </c>
      <c r="AZ497" s="235" t="e">
        <f t="shared" si="402"/>
        <v>#DIV/0!</v>
      </c>
      <c r="BA497" s="269" t="e">
        <f t="shared" si="403"/>
        <v>#DIV/0!</v>
      </c>
      <c r="BB497" s="292" t="e">
        <f t="shared" si="404"/>
        <v>#DIV/0!</v>
      </c>
      <c r="BC497" s="238" t="e">
        <f>IF(SUM($BC$13:BC496)&gt;0,0,IF(BB497&gt;0,B497,0))</f>
        <v>#DIV/0!</v>
      </c>
      <c r="BD497" s="292" t="e">
        <f>IF(BB497+SUM($BD$12:BD496)&gt;=0,0,-BB497-SUM($BD$12:BD496))</f>
        <v>#DIV/0!</v>
      </c>
      <c r="BE497" s="235" t="e">
        <f>BB497+SUM($BD$12:BD497)</f>
        <v>#DIV/0!</v>
      </c>
      <c r="BF497" s="292" t="e">
        <f>-MIN(BE497:$BE$501)-SUM(BF$12:$BF496)</f>
        <v>#DIV/0!</v>
      </c>
      <c r="BG497" s="235" t="e">
        <f t="shared" si="369"/>
        <v>#DIV/0!</v>
      </c>
    </row>
    <row r="498" spans="2:59">
      <c r="B498" s="246">
        <v>485</v>
      </c>
      <c r="C498" s="241">
        <f t="shared" si="368"/>
        <v>57440</v>
      </c>
      <c r="D498" s="229">
        <f t="shared" si="370"/>
        <v>4</v>
      </c>
      <c r="E498" s="230" t="str">
        <f t="shared" si="371"/>
        <v>-</v>
      </c>
      <c r="F498" s="231">
        <f t="shared" si="372"/>
        <v>0</v>
      </c>
      <c r="G498" s="231">
        <f t="shared" si="373"/>
        <v>0</v>
      </c>
      <c r="H498" s="231">
        <f t="shared" si="374"/>
        <v>0</v>
      </c>
      <c r="I498" s="268">
        <f t="shared" si="359"/>
        <v>0</v>
      </c>
      <c r="J498" s="269">
        <f t="shared" si="375"/>
        <v>0</v>
      </c>
      <c r="K498" s="269">
        <f t="shared" si="376"/>
        <v>0</v>
      </c>
      <c r="L498" s="269">
        <f t="shared" si="360"/>
        <v>0</v>
      </c>
      <c r="M498" s="269">
        <f t="shared" si="361"/>
        <v>0</v>
      </c>
      <c r="N498" s="233">
        <f>VLOOKUP(B498,Dados!$L$86:$P$90,5)</f>
        <v>0</v>
      </c>
      <c r="O498" s="270">
        <f t="shared" si="377"/>
        <v>0.99999999999999989</v>
      </c>
      <c r="P498" s="269">
        <f t="shared" si="378"/>
        <v>0</v>
      </c>
      <c r="Q498" s="269" t="e">
        <f t="shared" si="379"/>
        <v>#DIV/0!</v>
      </c>
      <c r="R498" s="269">
        <f t="shared" si="380"/>
        <v>0</v>
      </c>
      <c r="S498" s="269" t="e">
        <f t="shared" si="381"/>
        <v>#DIV/0!</v>
      </c>
      <c r="T498" s="269" t="e">
        <f t="shared" si="367"/>
        <v>#DIV/0!</v>
      </c>
      <c r="U498" s="234">
        <f t="shared" si="382"/>
        <v>0</v>
      </c>
      <c r="V498" s="232" t="e">
        <f t="shared" si="383"/>
        <v>#DIV/0!</v>
      </c>
      <c r="W498" s="269" t="e">
        <f t="shared" si="384"/>
        <v>#DIV/0!</v>
      </c>
      <c r="X498" s="235">
        <f t="shared" si="362"/>
        <v>0</v>
      </c>
      <c r="Y498" s="236">
        <f t="shared" si="385"/>
        <v>5</v>
      </c>
      <c r="Z498" s="236" t="e">
        <f t="shared" si="386"/>
        <v>#DIV/0!</v>
      </c>
      <c r="AA498" s="236">
        <f t="shared" si="387"/>
        <v>3</v>
      </c>
      <c r="AB498" s="236" t="e">
        <f t="shared" si="388"/>
        <v>#DIV/0!</v>
      </c>
      <c r="AC498" s="235">
        <f t="shared" si="389"/>
        <v>0</v>
      </c>
      <c r="AD498" s="235">
        <f t="shared" si="390"/>
        <v>0</v>
      </c>
      <c r="AE498" s="279">
        <f t="shared" si="391"/>
        <v>0</v>
      </c>
      <c r="AF498" s="232">
        <f t="shared" si="392"/>
        <v>0</v>
      </c>
      <c r="AG498" s="235">
        <f t="shared" si="393"/>
        <v>0</v>
      </c>
      <c r="AH498" s="269">
        <f t="shared" si="394"/>
        <v>0</v>
      </c>
      <c r="AI498" s="232">
        <f t="shared" si="395"/>
        <v>0</v>
      </c>
      <c r="AJ498" s="235">
        <f t="shared" si="396"/>
        <v>0</v>
      </c>
      <c r="AK498" s="269">
        <f t="shared" si="397"/>
        <v>0</v>
      </c>
      <c r="AL498" s="269">
        <f t="shared" si="363"/>
        <v>0</v>
      </c>
      <c r="AM498" s="281" t="e">
        <f>IF(B498&gt;=mpfo,pos*vvm*Dados!$E$122*(ntudv-SUM(U$301:$U499))-SUM($AM$13:AM497),0)</f>
        <v>#DIV/0!</v>
      </c>
      <c r="AN498" s="269" t="e">
        <f t="shared" si="398"/>
        <v>#DIV/0!</v>
      </c>
      <c r="AO498" s="232" t="e">
        <f t="shared" si="399"/>
        <v>#DIV/0!</v>
      </c>
      <c r="AP498" s="242" t="e">
        <f t="shared" si="400"/>
        <v>#DIV/0!</v>
      </c>
      <c r="AQ498" s="235" t="e">
        <f>IF(AP498+SUM($AQ$12:AQ497)&gt;=0,0,-AP498-SUM($AQ$12:AQ497))</f>
        <v>#DIV/0!</v>
      </c>
      <c r="AR498" s="235">
        <f>IF(SUM($N$13:N497)&gt;=pmo,IF(SUM(N497:$N$501)&gt;(1-pmo),B498,0),0)</f>
        <v>0</v>
      </c>
      <c r="AS498" s="235" t="e">
        <f>IF((SUM($U$13:$U497)/ntudv)&gt;=pmv,IF((SUM($U497:$U$501)/ntudv)&gt;(1-pmv),B498,0),0)</f>
        <v>#DIV/0!</v>
      </c>
      <c r="AT498" s="237" t="e">
        <f>IF(MAX(mmo,mmv)=mmo,IF(B498=AR498,(SUM(N$13:$N497)-pmo)/((1-VLOOKUP(MAX(mmo,mmv)-1,$B$13:$O$501,14))+(VLOOKUP(MAX(mmo,mmv)-1,$B$13:$O$501,14)-pmo)),N497/((1-VLOOKUP(MAX(mmo,mmv)-1,$B$13:$O$501,14)+(VLOOKUP(MAX(mmo,mmv)-1,$B$13:$O$501,14)-pmo)))),N497/(1-VLOOKUP(MAX(mmo,mmv)-2,$B$13:$O$501,14)))</f>
        <v>#DIV/0!</v>
      </c>
      <c r="AU498" s="101" t="e">
        <f t="shared" si="364"/>
        <v>#DIV/0!</v>
      </c>
      <c r="AV498" s="287" t="e">
        <f t="shared" si="365"/>
        <v>#DIV/0!</v>
      </c>
      <c r="AW498" s="235" t="e">
        <f t="shared" si="401"/>
        <v>#DIV/0!</v>
      </c>
      <c r="AX498" s="281">
        <f>IF(B498&gt;mpfo,0,IF(B498=mpfo,(vld-teo*(1+tcfo-incc)^(MAX(mmo,mmv)-mbfo))*-1,IF(SUM($N$13:N497)&gt;=pmo,IF(($V497/ntudv)&gt;=pmv,IF(B498=MAX(mmo,mmv),-teo*(1+tcfo-incc)^(B498-mbfo),0),0),0)))</f>
        <v>0</v>
      </c>
      <c r="AY498" s="292" t="e">
        <f t="shared" si="366"/>
        <v>#DIV/0!</v>
      </c>
      <c r="AZ498" s="235" t="e">
        <f t="shared" si="402"/>
        <v>#DIV/0!</v>
      </c>
      <c r="BA498" s="269" t="e">
        <f t="shared" si="403"/>
        <v>#DIV/0!</v>
      </c>
      <c r="BB498" s="292" t="e">
        <f t="shared" si="404"/>
        <v>#DIV/0!</v>
      </c>
      <c r="BC498" s="238" t="e">
        <f>IF(SUM($BC$13:BC497)&gt;0,0,IF(BB498&gt;0,B498,0))</f>
        <v>#DIV/0!</v>
      </c>
      <c r="BD498" s="292" t="e">
        <f>IF(BB498+SUM($BD$12:BD497)&gt;=0,0,-BB498-SUM($BD$12:BD497))</f>
        <v>#DIV/0!</v>
      </c>
      <c r="BE498" s="235" t="e">
        <f>BB498+SUM($BD$12:BD498)</f>
        <v>#DIV/0!</v>
      </c>
      <c r="BF498" s="292" t="e">
        <f>-MIN(BE498:$BE$501)-SUM(BF$12:$BF497)</f>
        <v>#DIV/0!</v>
      </c>
      <c r="BG498" s="235" t="e">
        <f t="shared" si="369"/>
        <v>#DIV/0!</v>
      </c>
    </row>
    <row r="499" spans="2:59">
      <c r="B499" s="120">
        <v>486</v>
      </c>
      <c r="C499" s="241">
        <f t="shared" si="368"/>
        <v>57470</v>
      </c>
      <c r="D499" s="229">
        <f t="shared" si="370"/>
        <v>5</v>
      </c>
      <c r="E499" s="230" t="str">
        <f t="shared" si="371"/>
        <v>-</v>
      </c>
      <c r="F499" s="231">
        <f t="shared" si="372"/>
        <v>0</v>
      </c>
      <c r="G499" s="231">
        <f t="shared" si="373"/>
        <v>0</v>
      </c>
      <c r="H499" s="231">
        <f t="shared" si="374"/>
        <v>0</v>
      </c>
      <c r="I499" s="268">
        <f t="shared" si="359"/>
        <v>0</v>
      </c>
      <c r="J499" s="269">
        <f t="shared" si="375"/>
        <v>0</v>
      </c>
      <c r="K499" s="269">
        <f t="shared" si="376"/>
        <v>0</v>
      </c>
      <c r="L499" s="269">
        <f t="shared" si="360"/>
        <v>0</v>
      </c>
      <c r="M499" s="269">
        <f t="shared" si="361"/>
        <v>0</v>
      </c>
      <c r="N499" s="233">
        <f>VLOOKUP(B499,Dados!$L$86:$P$90,5)</f>
        <v>0</v>
      </c>
      <c r="O499" s="270">
        <f t="shared" si="377"/>
        <v>0.99999999999999989</v>
      </c>
      <c r="P499" s="269">
        <f t="shared" si="378"/>
        <v>0</v>
      </c>
      <c r="Q499" s="269" t="e">
        <f t="shared" si="379"/>
        <v>#DIV/0!</v>
      </c>
      <c r="R499" s="269">
        <f t="shared" si="380"/>
        <v>0</v>
      </c>
      <c r="S499" s="269" t="e">
        <f t="shared" si="381"/>
        <v>#DIV/0!</v>
      </c>
      <c r="T499" s="269" t="e">
        <f t="shared" si="367"/>
        <v>#DIV/0!</v>
      </c>
      <c r="U499" s="234">
        <f t="shared" si="382"/>
        <v>0</v>
      </c>
      <c r="V499" s="232" t="e">
        <f t="shared" si="383"/>
        <v>#DIV/0!</v>
      </c>
      <c r="W499" s="269" t="e">
        <f t="shared" si="384"/>
        <v>#DIV/0!</v>
      </c>
      <c r="X499" s="235">
        <f t="shared" si="362"/>
        <v>0</v>
      </c>
      <c r="Y499" s="236">
        <f t="shared" si="385"/>
        <v>5</v>
      </c>
      <c r="Z499" s="236" t="e">
        <f t="shared" si="386"/>
        <v>#DIV/0!</v>
      </c>
      <c r="AA499" s="236">
        <f t="shared" si="387"/>
        <v>3</v>
      </c>
      <c r="AB499" s="236" t="e">
        <f t="shared" si="388"/>
        <v>#DIV/0!</v>
      </c>
      <c r="AC499" s="235">
        <f t="shared" si="389"/>
        <v>0</v>
      </c>
      <c r="AD499" s="235">
        <f t="shared" si="390"/>
        <v>0</v>
      </c>
      <c r="AE499" s="279">
        <f t="shared" si="391"/>
        <v>0</v>
      </c>
      <c r="AF499" s="232">
        <f t="shared" si="392"/>
        <v>0</v>
      </c>
      <c r="AG499" s="235">
        <f t="shared" si="393"/>
        <v>0</v>
      </c>
      <c r="AH499" s="269">
        <f t="shared" si="394"/>
        <v>0</v>
      </c>
      <c r="AI499" s="232">
        <f t="shared" si="395"/>
        <v>0</v>
      </c>
      <c r="AJ499" s="235">
        <f t="shared" si="396"/>
        <v>0</v>
      </c>
      <c r="AK499" s="269">
        <f t="shared" si="397"/>
        <v>0</v>
      </c>
      <c r="AL499" s="269">
        <f t="shared" si="363"/>
        <v>0</v>
      </c>
      <c r="AM499" s="281" t="e">
        <f>IF(B499&gt;=mpfo,pos*vvm*Dados!$E$122*(ntudv-SUM(U$301:$U500))-SUM($AM$13:AM498),0)</f>
        <v>#DIV/0!</v>
      </c>
      <c r="AN499" s="269" t="e">
        <f t="shared" si="398"/>
        <v>#DIV/0!</v>
      </c>
      <c r="AO499" s="232" t="e">
        <f t="shared" si="399"/>
        <v>#DIV/0!</v>
      </c>
      <c r="AP499" s="242" t="e">
        <f t="shared" si="400"/>
        <v>#DIV/0!</v>
      </c>
      <c r="AQ499" s="235" t="e">
        <f>IF(AP499+SUM($AQ$12:AQ498)&gt;=0,0,-AP499-SUM($AQ$12:AQ498))</f>
        <v>#DIV/0!</v>
      </c>
      <c r="AR499" s="235">
        <f>IF(SUM($N$13:N498)&gt;=pmo,IF(SUM(N498:$N$501)&gt;(1-pmo),B499,0),0)</f>
        <v>0</v>
      </c>
      <c r="AS499" s="235" t="e">
        <f>IF((SUM($U$13:$U498)/ntudv)&gt;=pmv,IF((SUM($U498:$U$501)/ntudv)&gt;(1-pmv),B499,0),0)</f>
        <v>#DIV/0!</v>
      </c>
      <c r="AT499" s="237" t="e">
        <f>IF(MAX(mmo,mmv)=mmo,IF(B499=AR499,(SUM(N$13:$N498)-pmo)/((1-VLOOKUP(MAX(mmo,mmv)-1,$B$13:$O$501,14))+(VLOOKUP(MAX(mmo,mmv)-1,$B$13:$O$501,14)-pmo)),N498/((1-VLOOKUP(MAX(mmo,mmv)-1,$B$13:$O$501,14)+(VLOOKUP(MAX(mmo,mmv)-1,$B$13:$O$501,14)-pmo)))),N498/(1-VLOOKUP(MAX(mmo,mmv)-2,$B$13:$O$501,14)))</f>
        <v>#DIV/0!</v>
      </c>
      <c r="AU499" s="101" t="e">
        <f t="shared" si="364"/>
        <v>#DIV/0!</v>
      </c>
      <c r="AV499" s="287" t="e">
        <f t="shared" si="365"/>
        <v>#DIV/0!</v>
      </c>
      <c r="AW499" s="235" t="e">
        <f t="shared" si="401"/>
        <v>#DIV/0!</v>
      </c>
      <c r="AX499" s="281">
        <f>IF(B499&gt;mpfo,0,IF(B499=mpfo,(vld-teo*(1+tcfo-incc)^(MAX(mmo,mmv)-mbfo))*-1,IF(SUM($N$13:N498)&gt;=pmo,IF(($V498/ntudv)&gt;=pmv,IF(B499=MAX(mmo,mmv),-teo*(1+tcfo-incc)^(B499-mbfo),0),0),0)))</f>
        <v>0</v>
      </c>
      <c r="AY499" s="292" t="e">
        <f t="shared" si="366"/>
        <v>#DIV/0!</v>
      </c>
      <c r="AZ499" s="235" t="e">
        <f t="shared" si="402"/>
        <v>#DIV/0!</v>
      </c>
      <c r="BA499" s="269" t="e">
        <f t="shared" si="403"/>
        <v>#DIV/0!</v>
      </c>
      <c r="BB499" s="292" t="e">
        <f t="shared" si="404"/>
        <v>#DIV/0!</v>
      </c>
      <c r="BC499" s="238" t="e">
        <f>IF(SUM($BC$13:BC498)&gt;0,0,IF(BB499&gt;0,B499,0))</f>
        <v>#DIV/0!</v>
      </c>
      <c r="BD499" s="292" t="e">
        <f>IF(BB499+SUM($BD$12:BD498)&gt;=0,0,-BB499-SUM($BD$12:BD498))</f>
        <v>#DIV/0!</v>
      </c>
      <c r="BE499" s="235" t="e">
        <f>BB499+SUM($BD$12:BD499)</f>
        <v>#DIV/0!</v>
      </c>
      <c r="BF499" s="292" t="e">
        <f>-MIN(BE499:$BE$501)-SUM(BF$12:$BF498)</f>
        <v>#DIV/0!</v>
      </c>
      <c r="BG499" s="235" t="e">
        <f t="shared" si="369"/>
        <v>#DIV/0!</v>
      </c>
    </row>
    <row r="500" spans="2:59">
      <c r="B500" s="246">
        <v>487</v>
      </c>
      <c r="C500" s="241">
        <f t="shared" si="368"/>
        <v>57501</v>
      </c>
      <c r="D500" s="229">
        <f t="shared" si="370"/>
        <v>6</v>
      </c>
      <c r="E500" s="230" t="str">
        <f t="shared" si="371"/>
        <v>-</v>
      </c>
      <c r="F500" s="231">
        <f t="shared" si="372"/>
        <v>0</v>
      </c>
      <c r="G500" s="231">
        <f t="shared" si="373"/>
        <v>0</v>
      </c>
      <c r="H500" s="231">
        <f t="shared" si="374"/>
        <v>0</v>
      </c>
      <c r="I500" s="268">
        <f t="shared" si="359"/>
        <v>0</v>
      </c>
      <c r="J500" s="269">
        <f t="shared" si="375"/>
        <v>0</v>
      </c>
      <c r="K500" s="269">
        <f t="shared" si="376"/>
        <v>0</v>
      </c>
      <c r="L500" s="269">
        <f t="shared" si="360"/>
        <v>0</v>
      </c>
      <c r="M500" s="269">
        <f t="shared" si="361"/>
        <v>0</v>
      </c>
      <c r="N500" s="233">
        <f>VLOOKUP(B500,Dados!$L$86:$P$90,5)</f>
        <v>0</v>
      </c>
      <c r="O500" s="270">
        <f t="shared" si="377"/>
        <v>0.99999999999999989</v>
      </c>
      <c r="P500" s="269">
        <f t="shared" si="378"/>
        <v>0</v>
      </c>
      <c r="Q500" s="269" t="e">
        <f t="shared" si="379"/>
        <v>#DIV/0!</v>
      </c>
      <c r="R500" s="269">
        <f t="shared" si="380"/>
        <v>0</v>
      </c>
      <c r="S500" s="269" t="e">
        <f t="shared" si="381"/>
        <v>#DIV/0!</v>
      </c>
      <c r="T500" s="269" t="e">
        <f t="shared" si="367"/>
        <v>#DIV/0!</v>
      </c>
      <c r="U500" s="234">
        <f t="shared" si="382"/>
        <v>0</v>
      </c>
      <c r="V500" s="232" t="e">
        <f t="shared" si="383"/>
        <v>#DIV/0!</v>
      </c>
      <c r="W500" s="269" t="e">
        <f t="shared" si="384"/>
        <v>#DIV/0!</v>
      </c>
      <c r="X500" s="235">
        <f t="shared" si="362"/>
        <v>0</v>
      </c>
      <c r="Y500" s="236">
        <f t="shared" si="385"/>
        <v>5</v>
      </c>
      <c r="Z500" s="236" t="e">
        <f t="shared" si="386"/>
        <v>#DIV/0!</v>
      </c>
      <c r="AA500" s="236">
        <f t="shared" si="387"/>
        <v>3</v>
      </c>
      <c r="AB500" s="236" t="e">
        <f t="shared" si="388"/>
        <v>#DIV/0!</v>
      </c>
      <c r="AC500" s="235">
        <f t="shared" si="389"/>
        <v>0</v>
      </c>
      <c r="AD500" s="235">
        <f t="shared" si="390"/>
        <v>0</v>
      </c>
      <c r="AE500" s="279">
        <f t="shared" si="391"/>
        <v>0</v>
      </c>
      <c r="AF500" s="232">
        <f t="shared" si="392"/>
        <v>1</v>
      </c>
      <c r="AG500" s="235">
        <f t="shared" si="393"/>
        <v>0</v>
      </c>
      <c r="AH500" s="269">
        <f t="shared" si="394"/>
        <v>0</v>
      </c>
      <c r="AI500" s="232">
        <f t="shared" si="395"/>
        <v>0</v>
      </c>
      <c r="AJ500" s="235">
        <f t="shared" si="396"/>
        <v>0</v>
      </c>
      <c r="AK500" s="269">
        <f t="shared" si="397"/>
        <v>0</v>
      </c>
      <c r="AL500" s="269">
        <f t="shared" si="363"/>
        <v>0</v>
      </c>
      <c r="AM500" s="281" t="e">
        <f>IF(B500&gt;=mpfo,pos*vvm*Dados!$E$122*(ntudv-SUM(U$301:$U501))-SUM($AM$13:AM499),0)</f>
        <v>#DIV/0!</v>
      </c>
      <c r="AN500" s="269" t="e">
        <f t="shared" si="398"/>
        <v>#DIV/0!</v>
      </c>
      <c r="AO500" s="232" t="e">
        <f t="shared" si="399"/>
        <v>#DIV/0!</v>
      </c>
      <c r="AP500" s="242" t="e">
        <f t="shared" si="400"/>
        <v>#DIV/0!</v>
      </c>
      <c r="AQ500" s="235" t="e">
        <f>IF(AP500+SUM($AQ$12:AQ499)&gt;=0,0,-AP500-SUM($AQ$12:AQ499))</f>
        <v>#DIV/0!</v>
      </c>
      <c r="AR500" s="235">
        <f>IF(SUM($N$13:N499)&gt;=pmo,IF(SUM(N499:$N$501)&gt;(1-pmo),B500,0),0)</f>
        <v>0</v>
      </c>
      <c r="AS500" s="235" t="e">
        <f>IF((SUM($U$13:$U499)/ntudv)&gt;=pmv,IF((SUM($U499:$U$501)/ntudv)&gt;(1-pmv),B500,0),0)</f>
        <v>#DIV/0!</v>
      </c>
      <c r="AT500" s="237" t="e">
        <f>IF(MAX(mmo,mmv)=mmo,IF(B500=AR500,(SUM(N$13:$N499)-pmo)/((1-VLOOKUP(MAX(mmo,mmv)-1,$B$13:$O$501,14))+(VLOOKUP(MAX(mmo,mmv)-1,$B$13:$O$501,14)-pmo)),N499/((1-VLOOKUP(MAX(mmo,mmv)-1,$B$13:$O$501,14)+(VLOOKUP(MAX(mmo,mmv)-1,$B$13:$O$501,14)-pmo)))),N499/(1-VLOOKUP(MAX(mmo,mmv)-2,$B$13:$O$501,14)))</f>
        <v>#DIV/0!</v>
      </c>
      <c r="AU500" s="101" t="e">
        <f t="shared" si="364"/>
        <v>#DIV/0!</v>
      </c>
      <c r="AV500" s="287" t="e">
        <f t="shared" si="365"/>
        <v>#DIV/0!</v>
      </c>
      <c r="AW500" s="235" t="e">
        <f t="shared" si="401"/>
        <v>#DIV/0!</v>
      </c>
      <c r="AX500" s="281">
        <f>IF(B500&gt;mpfo,0,IF(B500=mpfo,(vld-teo*(1+tcfo-incc)^(MAX(mmo,mmv)-mbfo))*-1,IF(SUM($N$13:N499)&gt;=pmo,IF(($V499/ntudv)&gt;=pmv,IF(B500=MAX(mmo,mmv),-teo*(1+tcfo-incc)^(B500-mbfo),0),0),0)))</f>
        <v>0</v>
      </c>
      <c r="AY500" s="292" t="e">
        <f t="shared" si="366"/>
        <v>#DIV/0!</v>
      </c>
      <c r="AZ500" s="235" t="e">
        <f t="shared" si="402"/>
        <v>#DIV/0!</v>
      </c>
      <c r="BA500" s="269" t="e">
        <f t="shared" si="403"/>
        <v>#DIV/0!</v>
      </c>
      <c r="BB500" s="292" t="e">
        <f t="shared" si="404"/>
        <v>#DIV/0!</v>
      </c>
      <c r="BC500" s="238" t="e">
        <f>IF(SUM($BC$13:BC499)&gt;0,0,IF(BB500&gt;0,B500,0))</f>
        <v>#DIV/0!</v>
      </c>
      <c r="BD500" s="292" t="e">
        <f>IF(BB500+SUM($BD$12:BD499)&gt;=0,0,-BB500-SUM($BD$12:BD499))</f>
        <v>#DIV/0!</v>
      </c>
      <c r="BE500" s="235" t="e">
        <f>BB500+SUM($BD$12:BD500)</f>
        <v>#DIV/0!</v>
      </c>
      <c r="BF500" s="292" t="e">
        <f>-MIN(BE500:$BE$501)-SUM(BF$12:$BF499)</f>
        <v>#DIV/0!</v>
      </c>
      <c r="BG500" s="235" t="e">
        <f t="shared" si="369"/>
        <v>#DIV/0!</v>
      </c>
    </row>
    <row r="501" spans="2:59">
      <c r="B501" s="120">
        <v>488</v>
      </c>
      <c r="C501" s="241">
        <f t="shared" si="368"/>
        <v>57531</v>
      </c>
      <c r="D501" s="229">
        <f t="shared" si="370"/>
        <v>7</v>
      </c>
      <c r="E501" s="230" t="str">
        <f t="shared" si="371"/>
        <v>-</v>
      </c>
      <c r="F501" s="231">
        <f t="shared" si="372"/>
        <v>0</v>
      </c>
      <c r="G501" s="231">
        <f t="shared" si="373"/>
        <v>0</v>
      </c>
      <c r="H501" s="231">
        <f t="shared" si="374"/>
        <v>0</v>
      </c>
      <c r="I501" s="268">
        <f t="shared" si="359"/>
        <v>0</v>
      </c>
      <c r="J501" s="269">
        <f t="shared" si="375"/>
        <v>0</v>
      </c>
      <c r="K501" s="269">
        <f t="shared" si="376"/>
        <v>0</v>
      </c>
      <c r="L501" s="269">
        <f t="shared" si="360"/>
        <v>0</v>
      </c>
      <c r="M501" s="269">
        <f t="shared" si="361"/>
        <v>0</v>
      </c>
      <c r="N501" s="233">
        <f>VLOOKUP(B501,Dados!$L$86:$P$90,5)</f>
        <v>0</v>
      </c>
      <c r="O501" s="270">
        <f t="shared" si="377"/>
        <v>0.99999999999999989</v>
      </c>
      <c r="P501" s="269">
        <f t="shared" si="378"/>
        <v>0</v>
      </c>
      <c r="Q501" s="269" t="e">
        <f t="shared" si="379"/>
        <v>#DIV/0!</v>
      </c>
      <c r="R501" s="269">
        <f t="shared" si="380"/>
        <v>0</v>
      </c>
      <c r="S501" s="269" t="e">
        <f t="shared" si="381"/>
        <v>#DIV/0!</v>
      </c>
      <c r="T501" s="269" t="e">
        <f t="shared" si="367"/>
        <v>#DIV/0!</v>
      </c>
      <c r="U501" s="234">
        <f t="shared" si="382"/>
        <v>0</v>
      </c>
      <c r="V501" s="232" t="e">
        <f t="shared" si="383"/>
        <v>#DIV/0!</v>
      </c>
      <c r="W501" s="269" t="e">
        <f t="shared" si="384"/>
        <v>#DIV/0!</v>
      </c>
      <c r="X501" s="235">
        <f t="shared" si="362"/>
        <v>0</v>
      </c>
      <c r="Y501" s="236">
        <f t="shared" si="385"/>
        <v>5</v>
      </c>
      <c r="Z501" s="236" t="e">
        <f t="shared" si="386"/>
        <v>#DIV/0!</v>
      </c>
      <c r="AA501" s="236">
        <f t="shared" si="387"/>
        <v>3</v>
      </c>
      <c r="AB501" s="236" t="e">
        <f t="shared" si="388"/>
        <v>#DIV/0!</v>
      </c>
      <c r="AC501" s="235">
        <f t="shared" si="389"/>
        <v>0</v>
      </c>
      <c r="AD501" s="235">
        <f t="shared" si="390"/>
        <v>0</v>
      </c>
      <c r="AE501" s="279">
        <f t="shared" si="391"/>
        <v>0</v>
      </c>
      <c r="AF501" s="232">
        <f t="shared" si="392"/>
        <v>0</v>
      </c>
      <c r="AG501" s="235">
        <f t="shared" si="393"/>
        <v>0</v>
      </c>
      <c r="AH501" s="269">
        <f t="shared" si="394"/>
        <v>0</v>
      </c>
      <c r="AI501" s="232">
        <f t="shared" si="395"/>
        <v>0</v>
      </c>
      <c r="AJ501" s="235">
        <f t="shared" si="396"/>
        <v>0</v>
      </c>
      <c r="AK501" s="269">
        <f t="shared" si="397"/>
        <v>0</v>
      </c>
      <c r="AL501" s="269">
        <f t="shared" si="363"/>
        <v>0</v>
      </c>
      <c r="AM501" s="281" t="e">
        <f>IF(B501&gt;=mpfo,pos*vvm*Dados!$E$122*(ntudv-SUM(U$301:$U502))-SUM($AM$13:AM500),0)</f>
        <v>#DIV/0!</v>
      </c>
      <c r="AN501" s="269" t="e">
        <f t="shared" si="398"/>
        <v>#DIV/0!</v>
      </c>
      <c r="AO501" s="232" t="e">
        <f t="shared" si="399"/>
        <v>#DIV/0!</v>
      </c>
      <c r="AP501" s="242" t="e">
        <f t="shared" si="400"/>
        <v>#DIV/0!</v>
      </c>
      <c r="AQ501" s="235" t="e">
        <f>IF(AP501+SUM($AQ$12:AQ500)&gt;=0,0,-AP501-SUM($AQ$12:AQ500))</f>
        <v>#DIV/0!</v>
      </c>
      <c r="AR501" s="235">
        <f>IF(SUM($N$13:N500)&gt;=pmo,IF(SUM(N500:$N$501)&gt;(1-pmo),B501,0),0)</f>
        <v>0</v>
      </c>
      <c r="AS501" s="235" t="e">
        <f>IF((SUM($U$13:$U500)/ntudv)&gt;=pmv,IF((SUM($U500:$U$501)/ntudv)&gt;(1-pmv),B501,0),0)</f>
        <v>#DIV/0!</v>
      </c>
      <c r="AT501" s="237" t="e">
        <f>IF(MAX(mmo,mmv)=mmo,IF(B501=AR501,(SUM(N$13:$N500)-pmo)/((1-VLOOKUP(MAX(mmo,mmv)-1,$B$13:$O$501,14))+(VLOOKUP(MAX(mmo,mmv)-1,$B$13:$O$501,14)-pmo)),N500/((1-VLOOKUP(MAX(mmo,mmv)-1,$B$13:$O$501,14)+(VLOOKUP(MAX(mmo,mmv)-1,$B$13:$O$501,14)-pmo)))),N500/(1-VLOOKUP(MAX(mmo,mmv)-2,$B$13:$O$501,14)))</f>
        <v>#DIV/0!</v>
      </c>
      <c r="AU501" s="101" t="e">
        <f t="shared" si="364"/>
        <v>#DIV/0!</v>
      </c>
      <c r="AV501" s="287" t="e">
        <f t="shared" si="365"/>
        <v>#DIV/0!</v>
      </c>
      <c r="AW501" s="235" t="e">
        <f t="shared" si="401"/>
        <v>#DIV/0!</v>
      </c>
      <c r="AX501" s="281">
        <f>IF(B501&gt;mpfo,0,IF(B501=mpfo,(vld-teo*(1+tcfo-incc)^(MAX(mmo,mmv)-mbfo))*-1,IF(SUM($N$13:N500)&gt;=pmo,IF(($V500/ntudv)&gt;=pmv,IF(B501=MAX(mmo,mmv),-teo*(1+tcfo-incc)^(B501-mbfo),0),0),0)))</f>
        <v>0</v>
      </c>
      <c r="AY501" s="292" t="e">
        <f t="shared" si="366"/>
        <v>#DIV/0!</v>
      </c>
      <c r="AZ501" s="235" t="e">
        <f t="shared" si="402"/>
        <v>#DIV/0!</v>
      </c>
      <c r="BA501" s="269" t="e">
        <f t="shared" si="403"/>
        <v>#DIV/0!</v>
      </c>
      <c r="BB501" s="292" t="e">
        <f t="shared" si="404"/>
        <v>#DIV/0!</v>
      </c>
      <c r="BC501" s="238" t="e">
        <f>IF(SUM($BC$13:BC500)&gt;0,0,IF(BB501&gt;0,B501,0))</f>
        <v>#DIV/0!</v>
      </c>
      <c r="BD501" s="292" t="e">
        <f>IF(BB501+SUM($BD$12:BD500)&gt;=0,0,-BB501-SUM($BD$12:BD500))</f>
        <v>#DIV/0!</v>
      </c>
      <c r="BE501" s="235" t="e">
        <f>BB501+SUM($BD$12:BD501)</f>
        <v>#DIV/0!</v>
      </c>
      <c r="BF501" s="292" t="e">
        <f>-MIN(BE501:$BE$501)-SUM(BF$12:$BF500)</f>
        <v>#DIV/0!</v>
      </c>
      <c r="BG501" s="235" t="e">
        <f t="shared" si="369"/>
        <v>#DIV/0!</v>
      </c>
    </row>
  </sheetData>
  <sheetProtection password="C697" sheet="1" objects="1" scenarios="1"/>
  <mergeCells count="15">
    <mergeCell ref="BF5:BG5"/>
    <mergeCell ref="BA5:BB5"/>
    <mergeCell ref="B12:C12"/>
    <mergeCell ref="AO5:AQ5"/>
    <mergeCell ref="AV7:AZ7"/>
    <mergeCell ref="N8:P8"/>
    <mergeCell ref="BA7:BF7"/>
    <mergeCell ref="K8:M8"/>
    <mergeCell ref="Y9:Z9"/>
    <mergeCell ref="X10:AB10"/>
    <mergeCell ref="AA9:AB9"/>
    <mergeCell ref="B9:C9"/>
    <mergeCell ref="B10:C10"/>
    <mergeCell ref="K7:S7"/>
    <mergeCell ref="U7:AN7"/>
  </mergeCells>
  <phoneticPr fontId="21" type="noConversion"/>
  <hyperlinks>
    <hyperlink ref="AM10" r:id="rId1" display="www.hamiltonleite.com.br"/>
    <hyperlink ref="AE10" r:id="rId2" display="www.hamiltonleite.com.br"/>
    <hyperlink ref="E13" r:id="rId3" display="www.hamiltonleite.com.br"/>
    <hyperlink ref="BA11" r:id="rId4" display="www.hamiltonleite.com.br"/>
    <hyperlink ref="B10" r:id="rId5"/>
    <hyperlink ref="Q10" r:id="rId6" display="www.hamiltonleite.com.br"/>
  </hyperlinks>
  <printOptions horizontalCentered="1" headings="1"/>
  <pageMargins left="0.75000000000000011" right="0.75000000000000011" top="1" bottom="1" header="0.5" footer="0.5"/>
  <pageSetup paperSize="9" scale="43" pageOrder="overThenDown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="150" zoomScaleNormal="150" zoomScalePageLayoutView="150" workbookViewId="0">
      <selection activeCell="A32" sqref="A32"/>
    </sheetView>
  </sheetViews>
  <sheetFormatPr baseColWidth="10" defaultRowHeight="15" x14ac:dyDescent="0"/>
  <cols>
    <col min="1" max="1" width="32" style="1" customWidth="1"/>
    <col min="2" max="2" width="12" style="1" customWidth="1"/>
    <col min="3" max="3" width="12.33203125" style="1" bestFit="1" customWidth="1"/>
    <col min="4" max="16384" width="10.83203125" style="1"/>
  </cols>
  <sheetData>
    <row r="1" spans="1:8" ht="18">
      <c r="A1" s="485" t="s">
        <v>42</v>
      </c>
      <c r="B1" s="486"/>
      <c r="C1" s="486"/>
      <c r="D1" s="486"/>
      <c r="E1" s="486"/>
      <c r="F1" s="486"/>
      <c r="G1" s="486"/>
      <c r="H1" s="486"/>
    </row>
    <row r="2" spans="1:8">
      <c r="A2" s="487">
        <v>3</v>
      </c>
      <c r="B2" s="486"/>
      <c r="C2" s="486"/>
      <c r="D2" s="486"/>
      <c r="E2" s="486"/>
      <c r="F2" s="486"/>
      <c r="G2" s="486"/>
      <c r="H2" s="486"/>
    </row>
    <row r="3" spans="1:8">
      <c r="A3" s="487">
        <f>A2+3</f>
        <v>6</v>
      </c>
      <c r="B3" s="486"/>
      <c r="C3" s="486"/>
      <c r="D3" s="486"/>
      <c r="E3" s="486"/>
      <c r="F3" s="486"/>
      <c r="G3" s="486"/>
      <c r="H3" s="486"/>
    </row>
    <row r="4" spans="1:8">
      <c r="A4" s="487">
        <f t="shared" ref="A4:A16" si="0">A3+3</f>
        <v>9</v>
      </c>
      <c r="B4" s="486"/>
      <c r="C4" s="486"/>
      <c r="D4" s="486"/>
      <c r="E4" s="486"/>
      <c r="F4" s="486"/>
      <c r="G4" s="486"/>
      <c r="H4" s="486"/>
    </row>
    <row r="5" spans="1:8">
      <c r="A5" s="487">
        <f t="shared" si="0"/>
        <v>12</v>
      </c>
      <c r="B5" s="486"/>
      <c r="C5" s="486"/>
      <c r="D5" s="486"/>
      <c r="E5" s="486"/>
      <c r="F5" s="486"/>
      <c r="G5" s="486"/>
      <c r="H5" s="486"/>
    </row>
    <row r="6" spans="1:8">
      <c r="A6" s="487">
        <f t="shared" si="0"/>
        <v>15</v>
      </c>
      <c r="B6" s="486"/>
      <c r="C6" s="486"/>
      <c r="D6" s="486"/>
      <c r="E6" s="486"/>
      <c r="F6" s="486"/>
      <c r="G6" s="486"/>
      <c r="H6" s="486"/>
    </row>
    <row r="7" spans="1:8">
      <c r="A7" s="487">
        <f t="shared" si="0"/>
        <v>18</v>
      </c>
      <c r="B7" s="486"/>
      <c r="C7" s="486"/>
      <c r="D7" s="486"/>
      <c r="E7" s="486"/>
      <c r="F7" s="486"/>
      <c r="G7" s="486"/>
      <c r="H7" s="486"/>
    </row>
    <row r="8" spans="1:8">
      <c r="A8" s="487">
        <f t="shared" si="0"/>
        <v>21</v>
      </c>
      <c r="B8" s="486"/>
      <c r="C8" s="486"/>
      <c r="D8" s="486"/>
      <c r="E8" s="486"/>
      <c r="F8" s="486"/>
      <c r="G8" s="486"/>
      <c r="H8" s="486"/>
    </row>
    <row r="9" spans="1:8">
      <c r="A9" s="487">
        <f t="shared" si="0"/>
        <v>24</v>
      </c>
      <c r="B9" s="486"/>
      <c r="C9" s="486"/>
      <c r="D9" s="486"/>
      <c r="E9" s="486"/>
      <c r="F9" s="486"/>
      <c r="G9" s="486"/>
      <c r="H9" s="486"/>
    </row>
    <row r="10" spans="1:8">
      <c r="A10" s="487">
        <f t="shared" si="0"/>
        <v>27</v>
      </c>
      <c r="B10" s="486"/>
      <c r="C10" s="486"/>
      <c r="D10" s="486"/>
      <c r="E10" s="486"/>
      <c r="F10" s="486"/>
      <c r="G10" s="486"/>
      <c r="H10" s="486"/>
    </row>
    <row r="11" spans="1:8">
      <c r="A11" s="487">
        <f t="shared" si="0"/>
        <v>30</v>
      </c>
      <c r="B11" s="486"/>
      <c r="C11" s="486"/>
      <c r="D11" s="486"/>
      <c r="E11" s="486"/>
      <c r="F11" s="486"/>
      <c r="G11" s="486"/>
      <c r="H11" s="486"/>
    </row>
    <row r="12" spans="1:8">
      <c r="A12" s="487">
        <f t="shared" si="0"/>
        <v>33</v>
      </c>
      <c r="B12" s="486"/>
      <c r="C12" s="486"/>
      <c r="D12" s="486"/>
      <c r="E12" s="486"/>
      <c r="F12" s="486"/>
      <c r="G12" s="486"/>
      <c r="H12" s="486"/>
    </row>
    <row r="13" spans="1:8">
      <c r="A13" s="487">
        <f t="shared" si="0"/>
        <v>36</v>
      </c>
      <c r="B13" s="486"/>
      <c r="C13" s="486"/>
      <c r="D13" s="486"/>
      <c r="E13" s="486"/>
      <c r="F13" s="486"/>
      <c r="G13" s="486"/>
      <c r="H13" s="486"/>
    </row>
    <row r="14" spans="1:8">
      <c r="A14" s="487">
        <f t="shared" si="0"/>
        <v>39</v>
      </c>
      <c r="B14" s="486"/>
      <c r="C14" s="486"/>
      <c r="D14" s="486"/>
      <c r="E14" s="486"/>
      <c r="F14" s="486"/>
      <c r="G14" s="486"/>
      <c r="H14" s="486"/>
    </row>
    <row r="15" spans="1:8">
      <c r="A15" s="487">
        <f t="shared" si="0"/>
        <v>42</v>
      </c>
      <c r="B15" s="486"/>
      <c r="C15" s="486"/>
      <c r="D15" s="486"/>
      <c r="E15" s="486"/>
      <c r="F15" s="486"/>
      <c r="G15" s="486"/>
      <c r="H15" s="486"/>
    </row>
    <row r="16" spans="1:8">
      <c r="A16" s="487">
        <f t="shared" si="0"/>
        <v>45</v>
      </c>
      <c r="B16" s="486"/>
      <c r="C16" s="486"/>
      <c r="D16" s="486"/>
      <c r="E16" s="486"/>
      <c r="F16" s="486"/>
      <c r="G16" s="486"/>
      <c r="H16" s="486"/>
    </row>
    <row r="17" spans="1:8">
      <c r="A17" s="487">
        <f>A16+3</f>
        <v>48</v>
      </c>
      <c r="B17" s="486"/>
      <c r="C17" s="486"/>
      <c r="D17" s="486"/>
      <c r="E17" s="486"/>
      <c r="F17" s="486"/>
      <c r="G17" s="486"/>
      <c r="H17" s="486"/>
    </row>
    <row r="18" spans="1:8">
      <c r="A18" s="488"/>
      <c r="B18" s="486"/>
      <c r="C18" s="486"/>
      <c r="D18" s="486"/>
      <c r="E18" s="486"/>
      <c r="F18" s="486"/>
      <c r="G18" s="486"/>
      <c r="H18" s="486"/>
    </row>
    <row r="19" spans="1:8">
      <c r="A19" s="489" t="s">
        <v>48</v>
      </c>
      <c r="B19" s="486"/>
      <c r="C19" s="486"/>
      <c r="D19" s="486"/>
      <c r="E19" s="486"/>
      <c r="F19" s="486"/>
      <c r="G19" s="486"/>
      <c r="H19" s="486"/>
    </row>
    <row r="20" spans="1:8">
      <c r="A20" s="490" t="s">
        <v>8</v>
      </c>
      <c r="B20" s="486"/>
      <c r="C20" s="486"/>
      <c r="D20" s="486"/>
      <c r="E20" s="486"/>
      <c r="F20" s="486"/>
      <c r="G20" s="486"/>
      <c r="H20" s="486"/>
    </row>
    <row r="21" spans="1:8">
      <c r="A21" s="491" t="s">
        <v>334</v>
      </c>
      <c r="B21" s="486"/>
      <c r="C21" s="486"/>
      <c r="D21" s="486"/>
      <c r="E21" s="486"/>
      <c r="F21" s="486"/>
      <c r="G21" s="486"/>
      <c r="H21" s="486"/>
    </row>
    <row r="22" spans="1:8">
      <c r="A22" s="486"/>
      <c r="B22" s="486"/>
      <c r="C22" s="486"/>
      <c r="D22" s="486"/>
      <c r="E22" s="486"/>
      <c r="F22" s="486"/>
      <c r="G22" s="486"/>
      <c r="H22" s="486"/>
    </row>
    <row r="23" spans="1:8" ht="18">
      <c r="A23" s="492" t="s">
        <v>234</v>
      </c>
      <c r="B23" s="486"/>
      <c r="C23" s="486"/>
      <c r="D23" s="486"/>
      <c r="E23" s="486"/>
      <c r="F23" s="486"/>
      <c r="G23" s="486"/>
      <c r="H23" s="486"/>
    </row>
    <row r="24" spans="1:8">
      <c r="A24" s="491" t="s">
        <v>235</v>
      </c>
      <c r="B24" s="486"/>
      <c r="C24" s="486"/>
      <c r="D24" s="486"/>
      <c r="E24" s="486"/>
      <c r="F24" s="486"/>
      <c r="G24" s="486"/>
      <c r="H24" s="486"/>
    </row>
    <row r="25" spans="1:8">
      <c r="A25" s="491" t="s">
        <v>236</v>
      </c>
      <c r="B25" s="486"/>
      <c r="C25" s="486"/>
      <c r="D25" s="486"/>
      <c r="E25" s="486"/>
      <c r="F25" s="486"/>
      <c r="G25" s="486"/>
      <c r="H25" s="486"/>
    </row>
    <row r="26" spans="1:8">
      <c r="A26" s="491" t="s">
        <v>237</v>
      </c>
      <c r="B26" s="486"/>
      <c r="C26" s="486"/>
      <c r="D26" s="486"/>
      <c r="E26" s="486"/>
      <c r="F26" s="486"/>
      <c r="G26" s="486"/>
      <c r="H26" s="486"/>
    </row>
    <row r="27" spans="1:8">
      <c r="A27" s="486"/>
      <c r="B27" s="486"/>
      <c r="C27" s="486"/>
      <c r="D27" s="486"/>
      <c r="E27" s="486"/>
      <c r="F27" s="486"/>
      <c r="G27" s="486"/>
      <c r="H27" s="486"/>
    </row>
    <row r="28" spans="1:8" ht="18">
      <c r="A28" s="485" t="s">
        <v>247</v>
      </c>
      <c r="B28" s="486"/>
      <c r="C28" s="486"/>
      <c r="D28" s="486"/>
      <c r="E28" s="486"/>
      <c r="F28" s="486"/>
      <c r="G28" s="486"/>
      <c r="H28" s="486"/>
    </row>
    <row r="29" spans="1:8">
      <c r="A29" s="493">
        <f>ROUNDUP((igpm+1)/(incc+1)-1,6)</f>
        <v>0</v>
      </c>
      <c r="B29" s="494" t="s">
        <v>105</v>
      </c>
      <c r="C29" s="495">
        <f>(A29+1)^12-1</f>
        <v>0</v>
      </c>
      <c r="D29" s="494" t="s">
        <v>7</v>
      </c>
      <c r="E29" s="486"/>
      <c r="F29" s="486"/>
      <c r="G29" s="486"/>
      <c r="H29" s="486"/>
    </row>
    <row r="30" spans="1:8">
      <c r="A30" s="486"/>
      <c r="B30" s="486"/>
      <c r="C30" s="486"/>
      <c r="D30" s="486"/>
      <c r="E30" s="486"/>
      <c r="F30" s="486"/>
      <c r="G30" s="486"/>
      <c r="H30" s="486"/>
    </row>
    <row r="31" spans="1:8">
      <c r="A31" s="496" t="s">
        <v>254</v>
      </c>
      <c r="B31" s="488"/>
      <c r="C31" s="488"/>
      <c r="D31" s="488"/>
      <c r="E31" s="488"/>
      <c r="F31" s="488"/>
      <c r="G31" s="486"/>
      <c r="H31" s="486"/>
    </row>
    <row r="32" spans="1:8" ht="16" thickBot="1">
      <c r="A32" s="497"/>
      <c r="B32" s="488" t="s">
        <v>256</v>
      </c>
      <c r="C32" s="488" t="s">
        <v>257</v>
      </c>
      <c r="D32" s="498" t="s">
        <v>258</v>
      </c>
      <c r="E32" s="488" t="s">
        <v>259</v>
      </c>
      <c r="F32" s="498" t="s">
        <v>263</v>
      </c>
      <c r="G32" s="486"/>
      <c r="H32" s="486"/>
    </row>
    <row r="33" spans="1:8" ht="16" thickTop="1">
      <c r="A33" s="499"/>
      <c r="B33" s="500">
        <v>-10</v>
      </c>
      <c r="C33" s="501"/>
      <c r="D33" s="502">
        <v>0</v>
      </c>
      <c r="E33" s="501">
        <v>0</v>
      </c>
      <c r="F33" s="503">
        <v>0</v>
      </c>
      <c r="G33" s="486"/>
      <c r="H33" s="486"/>
    </row>
    <row r="34" spans="1:8">
      <c r="A34" s="504" t="s">
        <v>260</v>
      </c>
      <c r="B34" s="505">
        <f>mio</f>
        <v>15</v>
      </c>
      <c r="C34" s="498">
        <f>+B34+E34-1</f>
        <v>22</v>
      </c>
      <c r="D34" s="506">
        <v>0.2</v>
      </c>
      <c r="E34" s="498">
        <f>+prazo/3</f>
        <v>8</v>
      </c>
      <c r="F34" s="507">
        <f>+D34/E34</f>
        <v>2.5000000000000001E-2</v>
      </c>
      <c r="G34" s="486"/>
      <c r="H34" s="486"/>
    </row>
    <row r="35" spans="1:8">
      <c r="A35" s="504" t="s">
        <v>261</v>
      </c>
      <c r="B35" s="505">
        <f>+C34+1</f>
        <v>23</v>
      </c>
      <c r="C35" s="498">
        <f>+B35+E35-1</f>
        <v>30</v>
      </c>
      <c r="D35" s="506">
        <v>0.42</v>
      </c>
      <c r="E35" s="498">
        <f>+prazo/3</f>
        <v>8</v>
      </c>
      <c r="F35" s="507">
        <f>+D35/E35</f>
        <v>5.2499999999999998E-2</v>
      </c>
      <c r="G35" s="486"/>
      <c r="H35" s="486"/>
    </row>
    <row r="36" spans="1:8">
      <c r="A36" s="504" t="s">
        <v>262</v>
      </c>
      <c r="B36" s="505">
        <f>+C35+1</f>
        <v>31</v>
      </c>
      <c r="C36" s="498">
        <f>+B36+E36-1</f>
        <v>38</v>
      </c>
      <c r="D36" s="506">
        <v>0.38</v>
      </c>
      <c r="E36" s="498">
        <f>+prazo/3</f>
        <v>8</v>
      </c>
      <c r="F36" s="507">
        <f>+D36/E36</f>
        <v>4.7500000000000001E-2</v>
      </c>
      <c r="G36" s="486"/>
      <c r="H36" s="486"/>
    </row>
    <row r="37" spans="1:8" ht="16" thickBot="1">
      <c r="A37" s="504"/>
      <c r="B37" s="508">
        <f>+C36+1</f>
        <v>39</v>
      </c>
      <c r="C37" s="509"/>
      <c r="D37" s="510">
        <v>0</v>
      </c>
      <c r="E37" s="509">
        <v>0</v>
      </c>
      <c r="F37" s="511">
        <v>0</v>
      </c>
      <c r="G37" s="486" t="s">
        <v>255</v>
      </c>
      <c r="H37" s="486"/>
    </row>
    <row r="38" spans="1:8" ht="16" thickTop="1">
      <c r="A38" s="486"/>
      <c r="B38" s="486"/>
      <c r="C38" s="486"/>
      <c r="D38" s="486"/>
      <c r="E38" s="486"/>
      <c r="F38" s="486"/>
      <c r="G38" s="486"/>
      <c r="H38" s="486"/>
    </row>
    <row r="39" spans="1:8">
      <c r="A39" s="9" t="s">
        <v>27</v>
      </c>
      <c r="B39" s="486"/>
      <c r="C39" s="486"/>
      <c r="D39" s="486"/>
      <c r="E39" s="486"/>
      <c r="F39" s="486"/>
      <c r="G39" s="486"/>
      <c r="H39" s="486"/>
    </row>
    <row r="40" spans="1:8" ht="16" thickBot="1">
      <c r="A40" s="9"/>
      <c r="B40" s="486" t="s">
        <v>264</v>
      </c>
      <c r="C40" s="486" t="s">
        <v>265</v>
      </c>
      <c r="D40" s="486" t="s">
        <v>266</v>
      </c>
      <c r="E40" s="486" t="s">
        <v>267</v>
      </c>
      <c r="F40" s="486"/>
      <c r="G40" s="486"/>
      <c r="H40" s="486"/>
    </row>
    <row r="41" spans="1:8" ht="16" thickTop="1">
      <c r="A41" s="486"/>
      <c r="B41" s="512">
        <v>-10</v>
      </c>
      <c r="C41" s="513">
        <v>0</v>
      </c>
      <c r="D41" s="513">
        <v>0</v>
      </c>
      <c r="E41" s="514">
        <v>0</v>
      </c>
      <c r="F41" s="486"/>
      <c r="G41" s="486"/>
      <c r="H41" s="486"/>
    </row>
    <row r="42" spans="1:8">
      <c r="A42" s="515" t="s">
        <v>377</v>
      </c>
      <c r="B42" s="516">
        <f>mlan</f>
        <v>6</v>
      </c>
      <c r="C42" s="517">
        <f t="shared" ref="C42:C46" si="1">B42+D42-1</f>
        <v>6</v>
      </c>
      <c r="D42" s="517">
        <v>1</v>
      </c>
      <c r="E42" s="518">
        <f>uvl</f>
        <v>0</v>
      </c>
      <c r="F42" s="486"/>
      <c r="G42" s="486"/>
      <c r="H42" s="486"/>
    </row>
    <row r="43" spans="1:8">
      <c r="A43" s="515" t="s">
        <v>378</v>
      </c>
      <c r="B43" s="516">
        <f t="shared" ref="B43:B47" si="2">C42+1</f>
        <v>7</v>
      </c>
      <c r="C43" s="517">
        <f t="shared" si="1"/>
        <v>14</v>
      </c>
      <c r="D43" s="517">
        <f>Dados!E80-1</f>
        <v>8</v>
      </c>
      <c r="E43" s="518">
        <f>uval</f>
        <v>0</v>
      </c>
      <c r="F43" s="486"/>
      <c r="G43" s="486"/>
      <c r="H43" s="486"/>
    </row>
    <row r="44" spans="1:8">
      <c r="A44" s="515" t="s">
        <v>379</v>
      </c>
      <c r="B44" s="516">
        <f t="shared" si="2"/>
        <v>15</v>
      </c>
      <c r="C44" s="517">
        <f t="shared" si="1"/>
        <v>22</v>
      </c>
      <c r="D44" s="517">
        <f>prazo/3</f>
        <v>8</v>
      </c>
      <c r="E44" s="518">
        <f>uvpt</f>
        <v>0</v>
      </c>
      <c r="F44" s="486"/>
      <c r="G44" s="486"/>
      <c r="H44" s="486"/>
    </row>
    <row r="45" spans="1:8">
      <c r="A45" s="515" t="s">
        <v>380</v>
      </c>
      <c r="B45" s="516">
        <f t="shared" si="2"/>
        <v>23</v>
      </c>
      <c r="C45" s="517">
        <f t="shared" si="1"/>
        <v>30</v>
      </c>
      <c r="D45" s="517">
        <f>prazo/3</f>
        <v>8</v>
      </c>
      <c r="E45" s="518">
        <f>uvst</f>
        <v>0</v>
      </c>
      <c r="F45" s="486"/>
      <c r="G45" s="486"/>
      <c r="H45" s="486"/>
    </row>
    <row r="46" spans="1:8">
      <c r="A46" s="515" t="s">
        <v>381</v>
      </c>
      <c r="B46" s="516">
        <f t="shared" si="2"/>
        <v>31</v>
      </c>
      <c r="C46" s="517">
        <f t="shared" si="1"/>
        <v>38</v>
      </c>
      <c r="D46" s="517">
        <f>prazo/3</f>
        <v>8</v>
      </c>
      <c r="E46" s="518">
        <f>uvtt</f>
        <v>0</v>
      </c>
      <c r="F46" s="486"/>
      <c r="G46" s="486"/>
      <c r="H46" s="486"/>
    </row>
    <row r="47" spans="1:8">
      <c r="A47" s="515" t="s">
        <v>3</v>
      </c>
      <c r="B47" s="516">
        <f t="shared" si="2"/>
        <v>39</v>
      </c>
      <c r="C47" s="517">
        <f>B47+D47-1</f>
        <v>37</v>
      </c>
      <c r="D47" s="517">
        <f>Dados!E100-1</f>
        <v>-1</v>
      </c>
      <c r="E47" s="518" t="e">
        <f>uvao</f>
        <v>#DIV/0!</v>
      </c>
      <c r="F47" s="486"/>
      <c r="G47" s="486"/>
      <c r="H47" s="486"/>
    </row>
    <row r="48" spans="1:8">
      <c r="A48" s="515" t="s">
        <v>289</v>
      </c>
      <c r="B48" s="516">
        <f>C47+1</f>
        <v>38</v>
      </c>
      <c r="C48" s="517">
        <f>B48</f>
        <v>38</v>
      </c>
      <c r="D48" s="517">
        <v>1</v>
      </c>
      <c r="E48" s="518" t="e">
        <f>Dados!H91-Dados!I99-uvao*(Dados!E100-1)</f>
        <v>#DIV/0!</v>
      </c>
      <c r="F48" s="486"/>
      <c r="G48" s="486"/>
      <c r="H48" s="486"/>
    </row>
    <row r="49" spans="1:8" ht="16" thickBot="1">
      <c r="A49" s="486"/>
      <c r="B49" s="519">
        <f>C48+1</f>
        <v>39</v>
      </c>
      <c r="C49" s="520">
        <v>0</v>
      </c>
      <c r="D49" s="520"/>
      <c r="E49" s="521"/>
      <c r="F49" s="486" t="s">
        <v>268</v>
      </c>
      <c r="G49" s="486"/>
      <c r="H49" s="486"/>
    </row>
    <row r="50" spans="1:8" ht="16" thickTop="1">
      <c r="A50" s="486"/>
      <c r="B50" s="486"/>
      <c r="C50" s="486"/>
      <c r="D50" s="486"/>
      <c r="E50" s="486"/>
      <c r="F50" s="486"/>
      <c r="G50" s="486"/>
      <c r="H50" s="486"/>
    </row>
    <row r="51" spans="1:8">
      <c r="A51" s="486"/>
      <c r="B51" s="486"/>
      <c r="C51" s="486"/>
      <c r="D51" s="486"/>
      <c r="E51" s="486"/>
      <c r="F51" s="486"/>
      <c r="G51" s="486"/>
      <c r="H51" s="486"/>
    </row>
    <row r="52" spans="1:8">
      <c r="A52" s="486" t="s">
        <v>328</v>
      </c>
      <c r="B52" s="486"/>
      <c r="C52" s="486"/>
      <c r="D52" s="486"/>
      <c r="E52" s="486"/>
      <c r="F52" s="486"/>
      <c r="G52" s="486"/>
      <c r="H52" s="486"/>
    </row>
    <row r="53" spans="1:8">
      <c r="A53" s="491" t="s">
        <v>332</v>
      </c>
      <c r="B53" s="486"/>
      <c r="C53" s="486"/>
      <c r="D53" s="486"/>
      <c r="E53" s="486"/>
      <c r="F53" s="486"/>
      <c r="G53" s="486"/>
      <c r="H53" s="486"/>
    </row>
    <row r="54" spans="1:8">
      <c r="A54" s="491" t="s">
        <v>331</v>
      </c>
      <c r="B54" s="486"/>
      <c r="C54" s="486"/>
      <c r="D54" s="486"/>
      <c r="E54" s="486"/>
      <c r="F54" s="486"/>
      <c r="G54" s="486"/>
      <c r="H54" s="486"/>
    </row>
    <row r="55" spans="1:8">
      <c r="A55" s="491" t="s">
        <v>237</v>
      </c>
      <c r="B55" s="486"/>
      <c r="C55" s="486"/>
      <c r="D55" s="486"/>
      <c r="E55" s="486"/>
      <c r="F55" s="486"/>
      <c r="G55" s="486"/>
      <c r="H55" s="486"/>
    </row>
    <row r="56" spans="1:8">
      <c r="A56" s="491" t="s">
        <v>329</v>
      </c>
      <c r="B56" s="486"/>
      <c r="C56" s="486"/>
      <c r="D56" s="486"/>
      <c r="E56" s="486"/>
      <c r="F56" s="486"/>
      <c r="G56" s="486"/>
      <c r="H56" s="486"/>
    </row>
    <row r="57" spans="1:8">
      <c r="A57" s="486"/>
      <c r="B57" s="486"/>
      <c r="C57" s="486"/>
      <c r="D57" s="486"/>
      <c r="E57" s="486"/>
      <c r="F57" s="486"/>
      <c r="G57" s="486"/>
      <c r="H57" s="486"/>
    </row>
    <row r="58" spans="1:8">
      <c r="A58" s="486" t="s">
        <v>376</v>
      </c>
      <c r="B58" s="486"/>
      <c r="C58" s="486"/>
      <c r="D58" s="486"/>
      <c r="E58" s="486"/>
      <c r="F58" s="486"/>
      <c r="G58" s="486"/>
      <c r="H58" s="486"/>
    </row>
    <row r="59" spans="1:8">
      <c r="A59" s="522">
        <v>1E-4</v>
      </c>
      <c r="B59" s="486"/>
      <c r="C59" s="486"/>
      <c r="D59" s="486"/>
      <c r="E59" s="486"/>
      <c r="F59" s="486"/>
      <c r="G59" s="486"/>
      <c r="H59" s="486"/>
    </row>
    <row r="60" spans="1:8">
      <c r="A60" s="522">
        <v>0.1</v>
      </c>
      <c r="B60" s="486"/>
      <c r="C60" s="486"/>
      <c r="D60" s="486"/>
      <c r="E60" s="486"/>
      <c r="F60" s="486"/>
      <c r="G60" s="486"/>
      <c r="H60" s="486"/>
    </row>
    <row r="61" spans="1:8">
      <c r="A61" s="522">
        <v>0.2</v>
      </c>
      <c r="B61" s="486"/>
      <c r="C61" s="486"/>
      <c r="D61" s="486"/>
      <c r="E61" s="486"/>
      <c r="F61" s="486"/>
      <c r="G61" s="486"/>
      <c r="H61" s="486"/>
    </row>
    <row r="62" spans="1:8">
      <c r="A62" s="522">
        <v>0.3</v>
      </c>
      <c r="B62" s="486"/>
      <c r="C62" s="486"/>
      <c r="D62" s="486"/>
      <c r="E62" s="486"/>
      <c r="F62" s="486"/>
      <c r="G62" s="486"/>
      <c r="H62" s="486"/>
    </row>
    <row r="63" spans="1:8">
      <c r="A63" s="522">
        <v>0.4</v>
      </c>
      <c r="B63" s="486"/>
      <c r="C63" s="486"/>
      <c r="D63" s="486"/>
      <c r="E63" s="486"/>
      <c r="F63" s="486"/>
      <c r="G63" s="486"/>
      <c r="H63" s="486"/>
    </row>
    <row r="64" spans="1:8">
      <c r="A64" s="522">
        <v>0.5</v>
      </c>
      <c r="B64" s="486"/>
      <c r="C64" s="486"/>
      <c r="D64" s="486"/>
      <c r="E64" s="486"/>
      <c r="F64" s="486"/>
      <c r="G64" s="486"/>
      <c r="H64" s="486"/>
    </row>
    <row r="65" spans="1:8">
      <c r="A65" s="522">
        <v>0.6</v>
      </c>
      <c r="B65" s="486"/>
      <c r="C65" s="486"/>
      <c r="D65" s="486"/>
      <c r="E65" s="486"/>
      <c r="F65" s="486"/>
      <c r="G65" s="486"/>
      <c r="H65" s="486"/>
    </row>
    <row r="66" spans="1:8">
      <c r="A66" s="523"/>
      <c r="B66" s="486"/>
      <c r="C66" s="486"/>
      <c r="D66" s="486"/>
      <c r="E66" s="486"/>
      <c r="F66" s="486"/>
      <c r="G66" s="486"/>
      <c r="H66" s="486"/>
    </row>
    <row r="67" spans="1:8">
      <c r="A67" s="486"/>
      <c r="B67" s="486"/>
      <c r="C67" s="486"/>
      <c r="D67" s="486"/>
      <c r="E67" s="486"/>
      <c r="F67" s="486"/>
      <c r="G67" s="486"/>
      <c r="H67" s="486"/>
    </row>
    <row r="68" spans="1:8">
      <c r="A68" s="486"/>
      <c r="B68" s="486"/>
      <c r="C68" s="486"/>
      <c r="D68" s="486"/>
      <c r="E68" s="486"/>
      <c r="F68" s="486"/>
      <c r="G68" s="486"/>
      <c r="H68" s="486"/>
    </row>
    <row r="69" spans="1:8">
      <c r="A69" s="486"/>
      <c r="B69" s="486"/>
      <c r="C69" s="486"/>
      <c r="D69" s="486"/>
      <c r="E69" s="486"/>
      <c r="F69" s="486"/>
      <c r="G69" s="486"/>
      <c r="H69" s="486"/>
    </row>
    <row r="70" spans="1:8">
      <c r="A70" s="486"/>
      <c r="B70" s="486"/>
      <c r="C70" s="486"/>
      <c r="D70" s="486"/>
      <c r="E70" s="486"/>
      <c r="F70" s="486"/>
      <c r="G70" s="486"/>
      <c r="H70" s="486"/>
    </row>
    <row r="71" spans="1:8">
      <c r="A71" s="486"/>
      <c r="B71" s="486"/>
      <c r="C71" s="486"/>
      <c r="D71" s="486"/>
      <c r="E71" s="486"/>
      <c r="F71" s="486"/>
      <c r="G71" s="486"/>
      <c r="H71" s="486"/>
    </row>
    <row r="72" spans="1:8">
      <c r="A72" s="486"/>
      <c r="B72" s="486"/>
      <c r="C72" s="486"/>
      <c r="D72" s="486"/>
      <c r="E72" s="486"/>
      <c r="F72" s="486"/>
      <c r="G72" s="486"/>
      <c r="H72" s="486"/>
    </row>
    <row r="73" spans="1:8">
      <c r="A73" s="486"/>
      <c r="B73" s="486"/>
      <c r="C73" s="486"/>
      <c r="D73" s="486"/>
      <c r="E73" s="486"/>
      <c r="F73" s="486"/>
      <c r="G73" s="486"/>
      <c r="H73" s="486"/>
    </row>
    <row r="74" spans="1:8">
      <c r="A74" s="486"/>
      <c r="B74" s="486"/>
      <c r="C74" s="486"/>
      <c r="D74" s="486"/>
      <c r="E74" s="486"/>
      <c r="F74" s="486"/>
      <c r="G74" s="486"/>
      <c r="H74" s="486"/>
    </row>
    <row r="75" spans="1:8">
      <c r="A75" s="486"/>
      <c r="B75" s="486"/>
      <c r="C75" s="486"/>
      <c r="D75" s="486"/>
      <c r="E75" s="486"/>
      <c r="F75" s="486"/>
      <c r="G75" s="486"/>
      <c r="H75" s="486"/>
    </row>
    <row r="76" spans="1:8">
      <c r="A76" s="486"/>
      <c r="B76" s="486"/>
      <c r="C76" s="486"/>
      <c r="D76" s="486"/>
      <c r="E76" s="486"/>
      <c r="F76" s="486"/>
      <c r="G76" s="486"/>
      <c r="H76" s="486"/>
    </row>
    <row r="77" spans="1:8">
      <c r="A77" s="486"/>
      <c r="B77" s="486"/>
      <c r="C77" s="486"/>
      <c r="D77" s="486"/>
      <c r="E77" s="486"/>
      <c r="F77" s="486"/>
      <c r="G77" s="486"/>
      <c r="H77" s="486"/>
    </row>
    <row r="78" spans="1:8">
      <c r="A78" s="486"/>
      <c r="B78" s="486"/>
      <c r="C78" s="486"/>
      <c r="D78" s="486"/>
      <c r="E78" s="486"/>
      <c r="F78" s="486"/>
      <c r="G78" s="486"/>
      <c r="H78" s="486"/>
    </row>
    <row r="79" spans="1:8">
      <c r="A79" s="486"/>
      <c r="B79" s="486"/>
      <c r="C79" s="486"/>
      <c r="D79" s="486"/>
      <c r="E79" s="486"/>
      <c r="F79" s="486"/>
      <c r="G79" s="486"/>
      <c r="H79" s="486"/>
    </row>
    <row r="80" spans="1:8">
      <c r="A80" s="486"/>
      <c r="B80" s="486"/>
      <c r="C80" s="486"/>
      <c r="D80" s="486"/>
      <c r="E80" s="486"/>
      <c r="F80" s="486"/>
      <c r="G80" s="486"/>
      <c r="H80" s="486"/>
    </row>
    <row r="81" spans="1:8">
      <c r="A81" s="486"/>
      <c r="B81" s="486"/>
      <c r="C81" s="486"/>
      <c r="D81" s="486"/>
      <c r="E81" s="486"/>
      <c r="F81" s="486"/>
      <c r="G81" s="486"/>
      <c r="H81" s="486"/>
    </row>
    <row r="82" spans="1:8">
      <c r="A82" s="486"/>
      <c r="B82" s="486"/>
      <c r="C82" s="486"/>
      <c r="D82" s="486"/>
      <c r="E82" s="486"/>
      <c r="F82" s="486"/>
      <c r="G82" s="486"/>
      <c r="H82" s="486"/>
    </row>
    <row r="83" spans="1:8">
      <c r="A83" s="486"/>
      <c r="B83" s="486"/>
      <c r="C83" s="486"/>
      <c r="D83" s="486"/>
      <c r="E83" s="486"/>
      <c r="F83" s="486"/>
      <c r="G83" s="486"/>
      <c r="H83" s="486"/>
    </row>
    <row r="84" spans="1:8">
      <c r="A84" s="486"/>
      <c r="B84" s="486"/>
      <c r="C84" s="486"/>
      <c r="D84" s="486"/>
      <c r="E84" s="486"/>
      <c r="F84" s="486"/>
      <c r="G84" s="486"/>
      <c r="H84" s="486"/>
    </row>
    <row r="85" spans="1:8">
      <c r="A85" s="486"/>
      <c r="B85" s="486"/>
      <c r="C85" s="486"/>
      <c r="D85" s="486"/>
      <c r="E85" s="486"/>
      <c r="F85" s="486"/>
      <c r="G85" s="486"/>
      <c r="H85" s="486"/>
    </row>
    <row r="86" spans="1:8">
      <c r="A86" s="486"/>
      <c r="B86" s="486"/>
      <c r="C86" s="486"/>
      <c r="D86" s="486"/>
      <c r="E86" s="486"/>
      <c r="F86" s="486"/>
      <c r="G86" s="486"/>
      <c r="H86" s="486"/>
    </row>
    <row r="87" spans="1:8">
      <c r="A87" s="486"/>
      <c r="B87" s="486"/>
      <c r="C87" s="486"/>
      <c r="D87" s="486"/>
      <c r="E87" s="486"/>
      <c r="F87" s="486"/>
      <c r="G87" s="486"/>
      <c r="H87" s="486"/>
    </row>
    <row r="88" spans="1:8">
      <c r="A88" s="486"/>
      <c r="B88" s="486"/>
      <c r="C88" s="486"/>
      <c r="D88" s="486"/>
      <c r="E88" s="486"/>
      <c r="F88" s="486"/>
      <c r="G88" s="486"/>
      <c r="H88" s="486"/>
    </row>
    <row r="89" spans="1:8">
      <c r="A89" s="486"/>
      <c r="B89" s="486"/>
      <c r="C89" s="486"/>
      <c r="D89" s="486"/>
      <c r="E89" s="486"/>
      <c r="F89" s="486"/>
      <c r="G89" s="486"/>
      <c r="H89" s="486"/>
    </row>
    <row r="90" spans="1:8">
      <c r="A90" s="486"/>
      <c r="B90" s="486"/>
      <c r="C90" s="486"/>
      <c r="D90" s="486"/>
      <c r="E90" s="486"/>
      <c r="F90" s="486"/>
      <c r="G90" s="486"/>
      <c r="H90" s="486"/>
    </row>
    <row r="91" spans="1:8">
      <c r="A91" s="486"/>
      <c r="B91" s="486"/>
      <c r="C91" s="486"/>
      <c r="D91" s="486"/>
      <c r="E91" s="486"/>
      <c r="F91" s="486"/>
      <c r="G91" s="486"/>
      <c r="H91" s="486"/>
    </row>
    <row r="92" spans="1:8">
      <c r="A92" s="486"/>
      <c r="B92" s="486"/>
      <c r="C92" s="486"/>
      <c r="D92" s="486"/>
      <c r="E92" s="486"/>
      <c r="F92" s="486"/>
      <c r="G92" s="486"/>
      <c r="H92" s="486"/>
    </row>
    <row r="93" spans="1:8">
      <c r="A93" s="486"/>
      <c r="B93" s="486"/>
      <c r="C93" s="486"/>
      <c r="D93" s="486"/>
      <c r="E93" s="486"/>
      <c r="F93" s="486"/>
      <c r="G93" s="486"/>
      <c r="H93" s="486"/>
    </row>
    <row r="94" spans="1:8">
      <c r="A94" s="486"/>
      <c r="B94" s="486"/>
      <c r="C94" s="486"/>
      <c r="D94" s="486"/>
      <c r="E94" s="486"/>
      <c r="F94" s="486"/>
      <c r="G94" s="486"/>
      <c r="H94" s="486"/>
    </row>
    <row r="95" spans="1:8">
      <c r="A95" s="486"/>
      <c r="B95" s="486"/>
      <c r="C95" s="486"/>
      <c r="D95" s="486"/>
      <c r="E95" s="486"/>
      <c r="F95" s="486"/>
      <c r="G95" s="486"/>
      <c r="H95" s="486"/>
    </row>
    <row r="96" spans="1:8">
      <c r="A96" s="486"/>
      <c r="B96" s="486"/>
      <c r="C96" s="486"/>
      <c r="D96" s="486"/>
      <c r="E96" s="486"/>
      <c r="F96" s="486"/>
      <c r="G96" s="486"/>
      <c r="H96" s="486"/>
    </row>
    <row r="97" spans="1:8">
      <c r="A97" s="486"/>
      <c r="B97" s="486"/>
      <c r="C97" s="486"/>
      <c r="D97" s="486"/>
      <c r="E97" s="486"/>
      <c r="F97" s="486"/>
      <c r="G97" s="486"/>
      <c r="H97" s="486"/>
    </row>
    <row r="98" spans="1:8">
      <c r="A98" s="486"/>
      <c r="B98" s="486"/>
      <c r="C98" s="486"/>
      <c r="D98" s="486"/>
      <c r="E98" s="486"/>
      <c r="F98" s="486"/>
      <c r="G98" s="486"/>
      <c r="H98" s="486"/>
    </row>
    <row r="99" spans="1:8">
      <c r="A99" s="486"/>
      <c r="B99" s="486"/>
      <c r="C99" s="486"/>
      <c r="D99" s="486"/>
      <c r="E99" s="486"/>
      <c r="F99" s="486"/>
      <c r="G99" s="486"/>
      <c r="H99" s="486"/>
    </row>
    <row r="100" spans="1:8">
      <c r="A100" s="486"/>
      <c r="B100" s="486"/>
      <c r="C100" s="486"/>
      <c r="D100" s="486"/>
      <c r="E100" s="486"/>
      <c r="F100" s="486"/>
      <c r="G100" s="486"/>
      <c r="H100" s="486"/>
    </row>
    <row r="101" spans="1:8">
      <c r="A101" s="486"/>
      <c r="B101" s="486"/>
      <c r="C101" s="486"/>
      <c r="D101" s="486"/>
      <c r="E101" s="486"/>
      <c r="F101" s="486"/>
      <c r="G101" s="486"/>
      <c r="H101" s="486"/>
    </row>
    <row r="102" spans="1:8">
      <c r="A102" s="486"/>
      <c r="B102" s="486"/>
      <c r="C102" s="486"/>
      <c r="D102" s="486"/>
      <c r="E102" s="486"/>
      <c r="F102" s="486"/>
      <c r="G102" s="486"/>
      <c r="H102" s="486"/>
    </row>
    <row r="103" spans="1:8">
      <c r="A103" s="486"/>
      <c r="B103" s="486"/>
      <c r="C103" s="486"/>
      <c r="D103" s="486"/>
      <c r="E103" s="486"/>
      <c r="F103" s="486"/>
      <c r="G103" s="486"/>
      <c r="H103" s="486"/>
    </row>
    <row r="104" spans="1:8">
      <c r="A104" s="486"/>
      <c r="B104" s="486"/>
      <c r="C104" s="486"/>
      <c r="D104" s="486"/>
      <c r="E104" s="486"/>
      <c r="F104" s="486"/>
      <c r="G104" s="486"/>
      <c r="H104" s="486"/>
    </row>
    <row r="105" spans="1:8">
      <c r="A105" s="486"/>
      <c r="B105" s="486"/>
      <c r="C105" s="486"/>
      <c r="D105" s="486"/>
      <c r="E105" s="486"/>
      <c r="F105" s="486"/>
      <c r="G105" s="486"/>
      <c r="H105" s="486"/>
    </row>
    <row r="106" spans="1:8">
      <c r="A106" s="486"/>
      <c r="B106" s="486"/>
      <c r="C106" s="486"/>
      <c r="D106" s="486"/>
      <c r="E106" s="486"/>
      <c r="F106" s="486"/>
      <c r="G106" s="486"/>
      <c r="H106" s="486"/>
    </row>
    <row r="107" spans="1:8">
      <c r="A107" s="486"/>
      <c r="B107" s="486"/>
      <c r="C107" s="486"/>
      <c r="D107" s="486"/>
      <c r="E107" s="486"/>
      <c r="F107" s="486"/>
      <c r="G107" s="486"/>
      <c r="H107" s="486"/>
    </row>
    <row r="108" spans="1:8">
      <c r="A108" s="486"/>
      <c r="B108" s="486"/>
      <c r="C108" s="486"/>
      <c r="D108" s="486"/>
      <c r="E108" s="486"/>
      <c r="F108" s="486"/>
      <c r="G108" s="486"/>
      <c r="H108" s="486"/>
    </row>
    <row r="109" spans="1:8">
      <c r="A109" s="486"/>
      <c r="B109" s="486"/>
      <c r="C109" s="486"/>
      <c r="D109" s="486"/>
      <c r="E109" s="486"/>
      <c r="F109" s="486"/>
      <c r="G109" s="486"/>
      <c r="H109" s="486"/>
    </row>
    <row r="110" spans="1:8">
      <c r="A110" s="486"/>
      <c r="B110" s="486"/>
      <c r="C110" s="486"/>
      <c r="D110" s="486"/>
      <c r="E110" s="486"/>
      <c r="F110" s="486"/>
      <c r="G110" s="486"/>
      <c r="H110" s="486"/>
    </row>
  </sheetData>
  <sheetProtection password="C697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1" sqref="B1"/>
    </sheetView>
  </sheetViews>
  <sheetFormatPr baseColWidth="10" defaultRowHeight="15" x14ac:dyDescent="0"/>
  <cols>
    <col min="1" max="1" width="8.1640625" bestFit="1" customWidth="1"/>
    <col min="2" max="2" width="39" customWidth="1"/>
    <col min="3" max="3" width="37.5" customWidth="1"/>
    <col min="4" max="4" width="9.5" customWidth="1"/>
  </cols>
  <sheetData>
    <row r="1" spans="1:4">
      <c r="A1" s="477" t="s">
        <v>506</v>
      </c>
      <c r="B1" s="477" t="s">
        <v>507</v>
      </c>
      <c r="C1" s="477" t="s">
        <v>508</v>
      </c>
      <c r="D1" s="478" t="s">
        <v>509</v>
      </c>
    </row>
    <row r="2" spans="1:4">
      <c r="A2" s="479"/>
      <c r="B2" s="479"/>
      <c r="C2" s="479"/>
      <c r="D2" s="478"/>
    </row>
    <row r="3" spans="1:4">
      <c r="A3" s="480" t="s">
        <v>510</v>
      </c>
      <c r="B3" s="481" t="e">
        <f>#REF!</f>
        <v>#REF!</v>
      </c>
      <c r="C3" s="481" t="s">
        <v>501</v>
      </c>
      <c r="D3" s="478" t="e">
        <f>IF(B3=C3,0.5,0)</f>
        <v>#REF!</v>
      </c>
    </row>
    <row r="4" spans="1:4">
      <c r="A4" s="480" t="s">
        <v>511</v>
      </c>
      <c r="B4" s="481" t="e">
        <f>#REF!</f>
        <v>#REF!</v>
      </c>
      <c r="C4" s="481" t="s">
        <v>503</v>
      </c>
      <c r="D4" s="478" t="e">
        <f t="shared" ref="D4:D22" si="0">IF(B4=C4,0.5,0)</f>
        <v>#REF!</v>
      </c>
    </row>
    <row r="5" spans="1:4">
      <c r="A5" s="480" t="s">
        <v>512</v>
      </c>
      <c r="B5" s="481" t="e">
        <f>#REF!</f>
        <v>#REF!</v>
      </c>
      <c r="C5" s="481" t="s">
        <v>504</v>
      </c>
      <c r="D5" s="478" t="e">
        <f t="shared" si="0"/>
        <v>#REF!</v>
      </c>
    </row>
    <row r="6" spans="1:4">
      <c r="A6" s="480">
        <v>2</v>
      </c>
      <c r="B6" s="479" t="e">
        <f>#REF!</f>
        <v>#REF!</v>
      </c>
      <c r="C6" s="479" t="s">
        <v>498</v>
      </c>
      <c r="D6" s="478" t="e">
        <f t="shared" si="0"/>
        <v>#REF!</v>
      </c>
    </row>
    <row r="7" spans="1:4">
      <c r="A7" s="480" t="s">
        <v>513</v>
      </c>
      <c r="B7" s="481" t="e">
        <f>#REF!</f>
        <v>#REF!</v>
      </c>
      <c r="C7" s="479" t="s">
        <v>500</v>
      </c>
      <c r="D7" s="478" t="e">
        <f t="shared" si="0"/>
        <v>#REF!</v>
      </c>
    </row>
    <row r="8" spans="1:4">
      <c r="A8" s="480" t="s">
        <v>514</v>
      </c>
      <c r="B8" s="481" t="e">
        <f>#REF!</f>
        <v>#REF!</v>
      </c>
      <c r="C8" s="479" t="s">
        <v>502</v>
      </c>
      <c r="D8" s="478" t="e">
        <f t="shared" si="0"/>
        <v>#REF!</v>
      </c>
    </row>
    <row r="9" spans="1:4">
      <c r="A9" s="480" t="s">
        <v>515</v>
      </c>
      <c r="B9" s="481" t="e">
        <f>#REF!</f>
        <v>#REF!</v>
      </c>
      <c r="C9" s="479" t="s">
        <v>505</v>
      </c>
      <c r="D9" s="478" t="e">
        <f t="shared" si="0"/>
        <v>#REF!</v>
      </c>
    </row>
    <row r="10" spans="1:4">
      <c r="A10" s="480">
        <v>4</v>
      </c>
      <c r="B10" s="479" t="e">
        <f>#REF!</f>
        <v>#REF!</v>
      </c>
      <c r="C10" s="479" t="s">
        <v>499</v>
      </c>
      <c r="D10" s="478" t="e">
        <f t="shared" si="0"/>
        <v>#REF!</v>
      </c>
    </row>
    <row r="11" spans="1:4">
      <c r="A11" s="480" t="s">
        <v>516</v>
      </c>
      <c r="B11" s="479" t="e">
        <f>#REF!</f>
        <v>#REF!</v>
      </c>
      <c r="C11" s="479" t="s">
        <v>517</v>
      </c>
      <c r="D11" s="478" t="e">
        <f t="shared" si="0"/>
        <v>#REF!</v>
      </c>
    </row>
    <row r="12" spans="1:4">
      <c r="A12" s="480" t="s">
        <v>518</v>
      </c>
      <c r="B12" s="479" t="e">
        <f>#REF!</f>
        <v>#REF!</v>
      </c>
      <c r="C12" s="479" t="s">
        <v>519</v>
      </c>
      <c r="D12" s="478" t="e">
        <f t="shared" si="0"/>
        <v>#REF!</v>
      </c>
    </row>
    <row r="13" spans="1:4">
      <c r="A13" s="480" t="s">
        <v>520</v>
      </c>
      <c r="B13" s="479" t="e">
        <f>#REF!</f>
        <v>#REF!</v>
      </c>
      <c r="C13" s="479" t="s">
        <v>521</v>
      </c>
      <c r="D13" s="478" t="e">
        <f t="shared" si="0"/>
        <v>#REF!</v>
      </c>
    </row>
    <row r="14" spans="1:4">
      <c r="A14" s="480" t="s">
        <v>522</v>
      </c>
      <c r="B14" s="479" t="e">
        <f>#REF!</f>
        <v>#REF!</v>
      </c>
      <c r="C14" s="479" t="s">
        <v>523</v>
      </c>
      <c r="D14" s="478" t="e">
        <f t="shared" si="0"/>
        <v>#REF!</v>
      </c>
    </row>
    <row r="15" spans="1:4">
      <c r="A15" s="480" t="s">
        <v>524</v>
      </c>
      <c r="B15" s="479" t="e">
        <f>#REF!</f>
        <v>#REF!</v>
      </c>
      <c r="C15" s="479" t="s">
        <v>525</v>
      </c>
      <c r="D15" s="478" t="e">
        <f t="shared" si="0"/>
        <v>#REF!</v>
      </c>
    </row>
    <row r="16" spans="1:4">
      <c r="A16" s="480" t="s">
        <v>526</v>
      </c>
      <c r="B16" s="479" t="e">
        <f>#REF!</f>
        <v>#REF!</v>
      </c>
      <c r="C16" s="479" t="s">
        <v>527</v>
      </c>
      <c r="D16" s="478" t="e">
        <f t="shared" si="0"/>
        <v>#REF!</v>
      </c>
    </row>
    <row r="17" spans="1:4">
      <c r="A17" s="480" t="s">
        <v>528</v>
      </c>
      <c r="B17" s="479" t="e">
        <f>#REF!</f>
        <v>#REF!</v>
      </c>
      <c r="C17" s="479" t="s">
        <v>529</v>
      </c>
      <c r="D17" s="478" t="e">
        <f t="shared" si="0"/>
        <v>#REF!</v>
      </c>
    </row>
    <row r="18" spans="1:4">
      <c r="A18" s="480" t="s">
        <v>530</v>
      </c>
      <c r="B18" s="479" t="e">
        <f>#REF!</f>
        <v>#REF!</v>
      </c>
      <c r="C18" s="479" t="s">
        <v>531</v>
      </c>
      <c r="D18" s="478" t="e">
        <f t="shared" si="0"/>
        <v>#REF!</v>
      </c>
    </row>
    <row r="19" spans="1:4">
      <c r="A19" s="480">
        <v>6</v>
      </c>
      <c r="B19" s="479" t="e">
        <f>#REF!</f>
        <v>#REF!</v>
      </c>
      <c r="C19" s="479" t="s">
        <v>532</v>
      </c>
      <c r="D19" s="478" t="e">
        <f t="shared" si="0"/>
        <v>#REF!</v>
      </c>
    </row>
    <row r="20" spans="1:4">
      <c r="A20" s="480">
        <v>7</v>
      </c>
      <c r="B20" s="479" t="e">
        <f>#REF!</f>
        <v>#REF!</v>
      </c>
      <c r="C20" s="479" t="s">
        <v>533</v>
      </c>
      <c r="D20" s="478" t="e">
        <f t="shared" si="0"/>
        <v>#REF!</v>
      </c>
    </row>
    <row r="21" spans="1:4">
      <c r="A21" s="480">
        <v>8</v>
      </c>
      <c r="B21" s="479" t="e">
        <f>#REF!</f>
        <v>#REF!</v>
      </c>
      <c r="C21" s="479" t="s">
        <v>534</v>
      </c>
      <c r="D21" s="478" t="e">
        <f t="shared" si="0"/>
        <v>#REF!</v>
      </c>
    </row>
    <row r="22" spans="1:4">
      <c r="A22" s="480">
        <v>9</v>
      </c>
      <c r="B22" s="479" t="e">
        <f>#REF!</f>
        <v>#REF!</v>
      </c>
      <c r="C22" s="479" t="s">
        <v>537</v>
      </c>
      <c r="D22" s="478" t="e">
        <f t="shared" si="0"/>
        <v>#REF!</v>
      </c>
    </row>
    <row r="23" spans="1:4" ht="16" thickBot="1">
      <c r="A23" s="482"/>
      <c r="B23" s="482"/>
      <c r="C23" s="482"/>
      <c r="D23" s="382"/>
    </row>
    <row r="24" spans="1:4" ht="16" thickBot="1">
      <c r="A24" s="483" t="s">
        <v>535</v>
      </c>
      <c r="B24" s="606" t="e">
        <f>#REF!</f>
        <v>#REF!</v>
      </c>
      <c r="C24" s="606"/>
      <c r="D24" s="484" t="e">
        <f>SUM(D3:D22)</f>
        <v>#REF!</v>
      </c>
    </row>
  </sheetData>
  <mergeCells count="1">
    <mergeCell ref="B24:C2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0"/>
  <sheetViews>
    <sheetView showGridLines="0" zoomScale="150" zoomScaleNormal="150" zoomScalePageLayoutView="150" workbookViewId="0">
      <selection activeCell="B63" sqref="B63"/>
    </sheetView>
  </sheetViews>
  <sheetFormatPr baseColWidth="10" defaultRowHeight="15" x14ac:dyDescent="0"/>
  <cols>
    <col min="1" max="1" width="2.33203125" style="1" customWidth="1"/>
    <col min="2" max="2" width="44.5" style="1" customWidth="1"/>
    <col min="3" max="3" width="15.5" style="1" customWidth="1"/>
    <col min="4" max="4" width="14.83203125" style="1" customWidth="1"/>
    <col min="5" max="5" width="15.6640625" style="1" customWidth="1"/>
    <col min="6" max="6" width="14.6640625" style="1" customWidth="1"/>
    <col min="7" max="7" width="16" style="1" customWidth="1"/>
    <col min="8" max="16384" width="10.83203125" style="1"/>
  </cols>
  <sheetData>
    <row r="1" spans="1:26">
      <c r="F1" s="401"/>
      <c r="H1" s="528">
        <v>123</v>
      </c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6">
      <c r="B2" s="607" t="s">
        <v>420</v>
      </c>
      <c r="C2" s="607"/>
      <c r="D2" s="607"/>
      <c r="E2" s="421" t="s">
        <v>445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</row>
    <row r="3" spans="1:26">
      <c r="E3" s="420" t="s">
        <v>357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</row>
    <row r="4" spans="1:26">
      <c r="A4" s="417"/>
      <c r="B4" s="418" t="s">
        <v>430</v>
      </c>
      <c r="C4" s="418" t="s">
        <v>427</v>
      </c>
      <c r="D4" s="418" t="s">
        <v>156</v>
      </c>
      <c r="E4" s="419" t="s">
        <v>431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>
      <c r="A5" s="415"/>
      <c r="B5" s="386" t="s">
        <v>385</v>
      </c>
      <c r="C5" s="390" t="s">
        <v>387</v>
      </c>
      <c r="D5" s="360">
        <v>1000</v>
      </c>
      <c r="E5" s="387" t="s">
        <v>386</v>
      </c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</row>
    <row r="6" spans="1:26">
      <c r="A6" s="415"/>
      <c r="B6" s="386" t="s">
        <v>414</v>
      </c>
      <c r="C6" s="390" t="s">
        <v>415</v>
      </c>
      <c r="D6" s="360">
        <v>1</v>
      </c>
      <c r="E6" s="389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</row>
    <row r="7" spans="1:26">
      <c r="A7" s="415"/>
      <c r="B7" s="386" t="s">
        <v>417</v>
      </c>
      <c r="C7" s="390" t="s">
        <v>416</v>
      </c>
      <c r="D7" s="360">
        <v>4</v>
      </c>
      <c r="E7" s="389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</row>
    <row r="8" spans="1:26">
      <c r="A8" s="415"/>
      <c r="B8" s="386" t="s">
        <v>388</v>
      </c>
      <c r="C8" s="390" t="s">
        <v>389</v>
      </c>
      <c r="D8" s="388">
        <f>D7*D5</f>
        <v>4000</v>
      </c>
      <c r="E8" s="389" t="s">
        <v>386</v>
      </c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</row>
    <row r="9" spans="1:26">
      <c r="A9" s="415"/>
      <c r="B9" s="386" t="s">
        <v>426</v>
      </c>
      <c r="C9" s="390"/>
      <c r="D9" s="388">
        <f>(D7-D6)*A_Terr</f>
        <v>3000</v>
      </c>
      <c r="E9" s="389" t="s">
        <v>386</v>
      </c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</row>
    <row r="10" spans="1:26">
      <c r="A10" s="415"/>
      <c r="B10" s="388" t="s">
        <v>443</v>
      </c>
      <c r="C10" s="451" t="s">
        <v>357</v>
      </c>
      <c r="D10" s="426">
        <v>0</v>
      </c>
      <c r="E10" s="389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</row>
    <row r="11" spans="1:26">
      <c r="A11" s="415"/>
      <c r="B11" s="388" t="s">
        <v>390</v>
      </c>
      <c r="C11" s="393"/>
      <c r="D11" s="391">
        <v>0</v>
      </c>
      <c r="E11" s="389" t="s">
        <v>549</v>
      </c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</row>
    <row r="12" spans="1:26">
      <c r="A12" s="415"/>
      <c r="B12" s="388" t="s">
        <v>402</v>
      </c>
      <c r="C12" s="393"/>
      <c r="D12" s="391">
        <v>0</v>
      </c>
      <c r="E12" s="389" t="s">
        <v>547</v>
      </c>
      <c r="F12" s="401"/>
      <c r="G12" s="403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</row>
    <row r="13" spans="1:26">
      <c r="A13" s="415"/>
      <c r="B13" s="388" t="s">
        <v>400</v>
      </c>
      <c r="C13" s="393"/>
      <c r="D13" s="391">
        <v>0</v>
      </c>
      <c r="E13" s="389" t="s">
        <v>548</v>
      </c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</row>
    <row r="14" spans="1:26">
      <c r="A14" s="415"/>
      <c r="B14" s="388" t="s">
        <v>391</v>
      </c>
      <c r="C14" s="451" t="s">
        <v>357</v>
      </c>
      <c r="D14" s="391">
        <v>0</v>
      </c>
      <c r="E14" s="389" t="s">
        <v>386</v>
      </c>
      <c r="F14" s="401"/>
      <c r="G14" s="402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</row>
    <row r="15" spans="1:26">
      <c r="A15" s="415"/>
      <c r="B15" s="388" t="s">
        <v>393</v>
      </c>
      <c r="C15" s="393"/>
      <c r="D15" s="391">
        <v>0</v>
      </c>
      <c r="E15" s="392" t="s">
        <v>34</v>
      </c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</row>
    <row r="16" spans="1:26">
      <c r="A16" s="415"/>
      <c r="B16" s="388" t="s">
        <v>409</v>
      </c>
      <c r="C16" s="393"/>
      <c r="D16" s="389">
        <f>D11*D12*D13+D15</f>
        <v>0</v>
      </c>
      <c r="E16" s="392" t="s">
        <v>34</v>
      </c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</row>
    <row r="17" spans="1:26">
      <c r="A17" s="415"/>
      <c r="B17" s="388" t="s">
        <v>408</v>
      </c>
      <c r="C17" s="393"/>
      <c r="D17" s="389" t="e">
        <f>(D8-D22)/D11/(D12+(D15/D13))</f>
        <v>#DIV/0!</v>
      </c>
      <c r="E17" s="389" t="s">
        <v>386</v>
      </c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</row>
    <row r="18" spans="1:26">
      <c r="A18" s="415"/>
      <c r="B18" s="388" t="s">
        <v>399</v>
      </c>
      <c r="C18" s="393"/>
      <c r="D18" s="400" t="e">
        <f>D17*0.1</f>
        <v>#DIV/0!</v>
      </c>
      <c r="E18" s="389" t="s">
        <v>386</v>
      </c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</row>
    <row r="19" spans="1:26">
      <c r="A19" s="415"/>
      <c r="B19" s="407" t="s">
        <v>398</v>
      </c>
      <c r="C19" s="451" t="s">
        <v>357</v>
      </c>
      <c r="D19" s="409" t="e">
        <f>(D17-D14)/D13+D18/D13</f>
        <v>#DIV/0!</v>
      </c>
      <c r="E19" s="409" t="s">
        <v>386</v>
      </c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</row>
    <row r="20" spans="1:26">
      <c r="A20" s="415"/>
      <c r="B20" s="407" t="s">
        <v>401</v>
      </c>
      <c r="C20" s="408"/>
      <c r="D20" s="409" t="e">
        <f>D19*D16</f>
        <v>#DIV/0!</v>
      </c>
      <c r="E20" s="409" t="s">
        <v>386</v>
      </c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</row>
    <row r="21" spans="1:26">
      <c r="A21" s="415"/>
      <c r="B21" s="388" t="s">
        <v>545</v>
      </c>
      <c r="C21" s="393"/>
      <c r="D21" s="391">
        <v>0</v>
      </c>
      <c r="E21" s="389" t="s">
        <v>386</v>
      </c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</row>
    <row r="22" spans="1:26">
      <c r="A22" s="415"/>
      <c r="B22" s="410" t="s">
        <v>544</v>
      </c>
      <c r="C22" s="393"/>
      <c r="D22" s="391">
        <v>0</v>
      </c>
      <c r="E22" s="389" t="s">
        <v>386</v>
      </c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</row>
    <row r="23" spans="1:26">
      <c r="A23" s="415"/>
      <c r="B23" s="388" t="s">
        <v>428</v>
      </c>
      <c r="C23" s="393"/>
      <c r="D23" s="391">
        <v>0</v>
      </c>
      <c r="E23" s="389" t="s">
        <v>386</v>
      </c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</row>
    <row r="24" spans="1:26">
      <c r="A24" s="415"/>
      <c r="B24" s="388" t="s">
        <v>392</v>
      </c>
      <c r="C24" s="393"/>
      <c r="D24" s="391">
        <v>0</v>
      </c>
      <c r="E24" s="389" t="s">
        <v>386</v>
      </c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</row>
    <row r="25" spans="1:26">
      <c r="A25" s="415"/>
      <c r="B25" s="388" t="s">
        <v>394</v>
      </c>
      <c r="C25" s="451" t="s">
        <v>357</v>
      </c>
      <c r="D25" s="391">
        <v>0</v>
      </c>
      <c r="E25" s="389" t="s">
        <v>550</v>
      </c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</row>
    <row r="26" spans="1:26">
      <c r="A26" s="415"/>
      <c r="B26" s="388" t="s">
        <v>396</v>
      </c>
      <c r="C26" s="393"/>
      <c r="D26" s="391">
        <v>0</v>
      </c>
      <c r="E26" s="389" t="s">
        <v>386</v>
      </c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</row>
    <row r="27" spans="1:26">
      <c r="A27" s="415"/>
      <c r="B27" s="388" t="s">
        <v>410</v>
      </c>
      <c r="C27" s="393"/>
      <c r="D27" s="395">
        <f>INT(D25*D16)</f>
        <v>0</v>
      </c>
      <c r="E27" s="389" t="s">
        <v>546</v>
      </c>
      <c r="F27" s="401"/>
      <c r="G27" s="528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</row>
    <row r="28" spans="1:26">
      <c r="A28" s="415"/>
      <c r="B28" s="388" t="s">
        <v>486</v>
      </c>
      <c r="C28" s="393"/>
      <c r="D28" s="399">
        <f>D27</f>
        <v>0</v>
      </c>
      <c r="E28" s="1" t="s">
        <v>546</v>
      </c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</row>
    <row r="29" spans="1:26">
      <c r="A29" s="415"/>
      <c r="B29" s="388" t="s">
        <v>418</v>
      </c>
      <c r="C29" s="451" t="s">
        <v>357</v>
      </c>
      <c r="D29" s="389">
        <f>D28*D26</f>
        <v>0</v>
      </c>
      <c r="E29" s="389" t="s">
        <v>386</v>
      </c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</row>
    <row r="30" spans="1:26">
      <c r="A30" s="415"/>
      <c r="B30" s="388" t="s">
        <v>395</v>
      </c>
      <c r="C30" s="393"/>
      <c r="D30" s="394">
        <f>D27-D28</f>
        <v>0</v>
      </c>
      <c r="E30" s="389" t="s">
        <v>546</v>
      </c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</row>
    <row r="31" spans="1:26">
      <c r="A31" s="415"/>
      <c r="B31" s="388" t="s">
        <v>444</v>
      </c>
      <c r="C31" s="393"/>
      <c r="D31" s="388" t="e">
        <f>D17*D11+D21+D22+D23+A_Terr*D10</f>
        <v>#DIV/0!</v>
      </c>
      <c r="E31" s="389" t="s">
        <v>386</v>
      </c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</row>
    <row r="32" spans="1:26">
      <c r="A32" s="415"/>
      <c r="B32" s="388" t="s">
        <v>419</v>
      </c>
      <c r="C32" s="393"/>
      <c r="D32" s="388">
        <f>D30*D26</f>
        <v>0</v>
      </c>
      <c r="E32" s="389" t="s">
        <v>386</v>
      </c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</row>
    <row r="33" spans="1:26">
      <c r="A33" s="415"/>
      <c r="B33" s="388" t="s">
        <v>421</v>
      </c>
      <c r="C33" s="393"/>
      <c r="D33" s="388" t="e">
        <f>A_Terr-D31</f>
        <v>#DIV/0!</v>
      </c>
      <c r="E33" s="389" t="s">
        <v>386</v>
      </c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</row>
    <row r="34" spans="1:26"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</row>
    <row r="35" spans="1:26" ht="18">
      <c r="B35" s="385" t="s">
        <v>413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</row>
    <row r="36" spans="1:26">
      <c r="A36" s="415"/>
      <c r="B36" s="448" t="s">
        <v>357</v>
      </c>
      <c r="D36" s="406" t="s">
        <v>404</v>
      </c>
      <c r="E36" s="406" t="s">
        <v>403</v>
      </c>
      <c r="F36" s="406" t="s">
        <v>405</v>
      </c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</row>
    <row r="37" spans="1:26">
      <c r="A37" s="416"/>
      <c r="B37" s="388" t="s">
        <v>397</v>
      </c>
      <c r="C37" s="393"/>
      <c r="D37" s="386">
        <f>D29</f>
        <v>0</v>
      </c>
      <c r="E37" s="386"/>
      <c r="F37" s="386">
        <f>E37+D37</f>
        <v>0</v>
      </c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</row>
    <row r="38" spans="1:26">
      <c r="A38" s="415"/>
      <c r="B38" s="396" t="s">
        <v>406</v>
      </c>
      <c r="C38" s="397"/>
      <c r="D38" s="386" t="e">
        <f>D18*D12*D11</f>
        <v>#DIV/0!</v>
      </c>
      <c r="E38" s="386" t="e">
        <f>D17*D12*D11</f>
        <v>#DIV/0!</v>
      </c>
      <c r="F38" s="386" t="e">
        <f>E38+D38</f>
        <v>#DIV/0!</v>
      </c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</row>
    <row r="39" spans="1:26">
      <c r="A39" s="416"/>
      <c r="B39" s="388" t="s">
        <v>429</v>
      </c>
      <c r="C39" s="451" t="s">
        <v>357</v>
      </c>
      <c r="D39" s="386" t="e">
        <f>D17*D11-E39+D21</f>
        <v>#DIV/0!</v>
      </c>
      <c r="E39" s="386" t="e">
        <f>D15*D19</f>
        <v>#DIV/0!</v>
      </c>
      <c r="F39" s="386" t="e">
        <f>E39+D39</f>
        <v>#DIV/0!</v>
      </c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</row>
    <row r="40" spans="1:26">
      <c r="A40" s="415"/>
      <c r="B40" s="396" t="s">
        <v>407</v>
      </c>
      <c r="C40" s="397"/>
      <c r="D40" s="386">
        <f>D24*D11</f>
        <v>0</v>
      </c>
      <c r="E40" s="386"/>
      <c r="F40" s="386">
        <f>E40+D40</f>
        <v>0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</row>
    <row r="41" spans="1:26">
      <c r="A41" s="415"/>
      <c r="B41" s="388" t="s">
        <v>412</v>
      </c>
      <c r="C41" s="393"/>
      <c r="D41" s="386">
        <f>D21</f>
        <v>0</v>
      </c>
      <c r="E41" s="386"/>
      <c r="F41" s="386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</row>
    <row r="42" spans="1:26">
      <c r="A42" s="415"/>
      <c r="B42" s="404" t="s">
        <v>411</v>
      </c>
      <c r="C42" s="398"/>
      <c r="D42" s="405" t="e">
        <f>SUM(D37:D41)</f>
        <v>#DIV/0!</v>
      </c>
      <c r="E42" s="405" t="e">
        <f>SUM(E37:E41)</f>
        <v>#DIV/0!</v>
      </c>
      <c r="F42" s="405" t="e">
        <f>SUM(F37:F41)</f>
        <v>#DIV/0!</v>
      </c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</row>
    <row r="43" spans="1:26"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</row>
    <row r="44" spans="1:26">
      <c r="C44" s="413"/>
      <c r="D44" s="414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</row>
    <row r="45" spans="1:26">
      <c r="A45" s="401"/>
      <c r="B45" s="435" t="s">
        <v>471</v>
      </c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</row>
    <row r="46" spans="1:26">
      <c r="A46" s="401"/>
      <c r="B46" s="448" t="s">
        <v>357</v>
      </c>
      <c r="C46" s="452"/>
      <c r="D46" s="430" t="s">
        <v>451</v>
      </c>
      <c r="E46" s="453" t="s">
        <v>487</v>
      </c>
      <c r="F46" s="608" t="s">
        <v>470</v>
      </c>
      <c r="G46" s="609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</row>
    <row r="47" spans="1:26">
      <c r="A47" s="401"/>
      <c r="B47" s="431" t="s">
        <v>452</v>
      </c>
      <c r="C47" s="431" t="s">
        <v>484</v>
      </c>
      <c r="D47" s="431" t="s">
        <v>485</v>
      </c>
      <c r="E47" s="431" t="s">
        <v>453</v>
      </c>
      <c r="F47" s="431" t="s">
        <v>454</v>
      </c>
      <c r="G47" s="431" t="s">
        <v>455</v>
      </c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</row>
    <row r="48" spans="1:26">
      <c r="A48" s="401"/>
      <c r="B48" s="432" t="s">
        <v>456</v>
      </c>
      <c r="C48" s="386">
        <v>0.7</v>
      </c>
      <c r="D48" s="386">
        <v>1</v>
      </c>
      <c r="E48" s="436"/>
      <c r="F48" s="436"/>
      <c r="G48" s="438">
        <f t="shared" ref="G48:G53" si="0">F48*E48</f>
        <v>0</v>
      </c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</row>
    <row r="49" spans="1:26">
      <c r="A49" s="401"/>
      <c r="B49" s="432" t="s">
        <v>457</v>
      </c>
      <c r="C49" s="386">
        <v>0.5</v>
      </c>
      <c r="D49" s="386">
        <v>0.8</v>
      </c>
      <c r="E49" s="436"/>
      <c r="F49" s="436"/>
      <c r="G49" s="438">
        <f t="shared" si="0"/>
        <v>0</v>
      </c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</row>
    <row r="50" spans="1:26">
      <c r="A50" s="401"/>
      <c r="B50" s="432" t="s">
        <v>458</v>
      </c>
      <c r="C50" s="386">
        <v>0.5</v>
      </c>
      <c r="D50" s="386">
        <v>0.8</v>
      </c>
      <c r="E50" s="436"/>
      <c r="F50" s="436"/>
      <c r="G50" s="438">
        <f t="shared" si="0"/>
        <v>0</v>
      </c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</row>
    <row r="51" spans="1:26">
      <c r="A51" s="401"/>
      <c r="B51" s="432" t="s">
        <v>483</v>
      </c>
      <c r="C51" s="386">
        <v>1</v>
      </c>
      <c r="D51" s="386">
        <v>1.25</v>
      </c>
      <c r="E51" s="436"/>
      <c r="F51" s="436"/>
      <c r="G51" s="438">
        <f t="shared" si="0"/>
        <v>0</v>
      </c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</row>
    <row r="52" spans="1:26">
      <c r="A52" s="401"/>
      <c r="B52" s="432" t="s">
        <v>459</v>
      </c>
      <c r="C52" s="386">
        <v>0.5</v>
      </c>
      <c r="D52" s="386">
        <v>0.7</v>
      </c>
      <c r="E52" s="436"/>
      <c r="F52" s="436"/>
      <c r="G52" s="438">
        <f t="shared" si="0"/>
        <v>0</v>
      </c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</row>
    <row r="53" spans="1:26">
      <c r="A53" s="401"/>
      <c r="B53" s="432" t="s">
        <v>460</v>
      </c>
      <c r="C53" s="386">
        <v>0.2</v>
      </c>
      <c r="D53" s="386">
        <v>0.5</v>
      </c>
      <c r="E53" s="436"/>
      <c r="F53" s="436"/>
      <c r="G53" s="438">
        <f t="shared" si="0"/>
        <v>0</v>
      </c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</row>
    <row r="54" spans="1:26">
      <c r="A54" s="401"/>
      <c r="B54" s="432" t="s">
        <v>488</v>
      </c>
      <c r="C54" s="386">
        <v>0.7</v>
      </c>
      <c r="D54" s="386">
        <v>1</v>
      </c>
      <c r="E54" s="436"/>
      <c r="F54" s="436"/>
      <c r="G54" s="438">
        <f>F54*E54</f>
        <v>0</v>
      </c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</row>
    <row r="55" spans="1:26">
      <c r="A55" s="401"/>
      <c r="B55" s="432" t="s">
        <v>461</v>
      </c>
      <c r="C55" s="386">
        <v>0.3</v>
      </c>
      <c r="D55" s="386">
        <v>0.7</v>
      </c>
      <c r="E55" s="436"/>
      <c r="F55" s="436"/>
      <c r="G55" s="438">
        <f t="shared" ref="G55:G61" si="1">F55*E55</f>
        <v>0</v>
      </c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</row>
    <row r="56" spans="1:26">
      <c r="A56" s="401"/>
      <c r="B56" s="432" t="s">
        <v>462</v>
      </c>
      <c r="C56" s="386">
        <v>0.4</v>
      </c>
      <c r="D56" s="386">
        <v>0.4</v>
      </c>
      <c r="E56" s="436"/>
      <c r="F56" s="436"/>
      <c r="G56" s="438">
        <f t="shared" si="1"/>
        <v>0</v>
      </c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</row>
    <row r="57" spans="1:26">
      <c r="A57" s="401"/>
      <c r="B57" s="432" t="s">
        <v>463</v>
      </c>
      <c r="C57" s="386">
        <v>1</v>
      </c>
      <c r="D57" s="386">
        <v>1</v>
      </c>
      <c r="E57" s="436">
        <v>1</v>
      </c>
      <c r="F57" s="436" t="e">
        <f>F38</f>
        <v>#DIV/0!</v>
      </c>
      <c r="G57" s="438" t="e">
        <f t="shared" si="1"/>
        <v>#DIV/0!</v>
      </c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</row>
    <row r="58" spans="1:26">
      <c r="A58" s="401"/>
      <c r="B58" s="432" t="s">
        <v>464</v>
      </c>
      <c r="C58" s="386">
        <v>1</v>
      </c>
      <c r="D58" s="386">
        <v>1</v>
      </c>
      <c r="E58" s="436"/>
      <c r="F58" s="436"/>
      <c r="G58" s="438">
        <f t="shared" si="1"/>
        <v>0</v>
      </c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</row>
    <row r="59" spans="1:26">
      <c r="A59" s="401"/>
      <c r="B59" s="432" t="s">
        <v>465</v>
      </c>
      <c r="C59" s="386">
        <v>1</v>
      </c>
      <c r="D59" s="386">
        <v>1</v>
      </c>
      <c r="E59" s="436"/>
      <c r="F59" s="436"/>
      <c r="G59" s="438">
        <f t="shared" si="1"/>
        <v>0</v>
      </c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</row>
    <row r="60" spans="1:26">
      <c r="A60" s="401"/>
      <c r="B60" s="432" t="s">
        <v>466</v>
      </c>
      <c r="C60" s="386">
        <v>0.5</v>
      </c>
      <c r="D60" s="386">
        <v>0.6</v>
      </c>
      <c r="E60" s="436"/>
      <c r="F60" s="436">
        <f>F40</f>
        <v>0</v>
      </c>
      <c r="G60" s="438">
        <f t="shared" si="1"/>
        <v>0</v>
      </c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</row>
    <row r="61" spans="1:26">
      <c r="A61" s="401"/>
      <c r="B61" s="432" t="s">
        <v>467</v>
      </c>
      <c r="C61" s="386">
        <v>0.4</v>
      </c>
      <c r="D61" s="386">
        <v>0.4</v>
      </c>
      <c r="E61" s="437"/>
      <c r="F61" s="436"/>
      <c r="G61" s="438">
        <f t="shared" si="1"/>
        <v>0</v>
      </c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</row>
    <row r="62" spans="1:26">
      <c r="A62" s="401"/>
      <c r="B62" s="433"/>
      <c r="C62" s="2"/>
      <c r="D62" s="434"/>
      <c r="E62" s="441" t="s">
        <v>113</v>
      </c>
      <c r="F62" s="440" t="e">
        <f>SUM(F48:F61)</f>
        <v>#DIV/0!</v>
      </c>
      <c r="G62" s="439" t="e">
        <f>SUM(G48:G61)</f>
        <v>#DIV/0!</v>
      </c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</row>
    <row r="63" spans="1:26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</row>
    <row r="64" spans="1:26">
      <c r="A64" s="401"/>
      <c r="B64" s="401"/>
      <c r="C64" s="401"/>
      <c r="D64" s="401"/>
      <c r="E64" s="444" t="s">
        <v>469</v>
      </c>
      <c r="F64" s="443"/>
      <c r="G64" s="476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</row>
    <row r="65" spans="1:26">
      <c r="A65" s="401"/>
      <c r="B65" s="401"/>
      <c r="C65" s="401"/>
      <c r="D65" s="401"/>
      <c r="E65" s="401"/>
      <c r="F65" s="401"/>
      <c r="G65" s="442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</row>
    <row r="66" spans="1:26">
      <c r="A66" s="401"/>
      <c r="B66" s="401"/>
      <c r="C66" s="401"/>
      <c r="D66" s="401"/>
      <c r="E66" s="444" t="s">
        <v>468</v>
      </c>
      <c r="F66" s="443"/>
      <c r="G66" s="445" t="e">
        <f>G64*G62</f>
        <v>#DIV/0!</v>
      </c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</row>
    <row r="67" spans="1:26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</row>
    <row r="68" spans="1:26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</row>
    <row r="69" spans="1:26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</row>
    <row r="70" spans="1:26">
      <c r="A70" s="401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</row>
    <row r="71" spans="1:26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</row>
    <row r="72" spans="1:26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</row>
    <row r="73" spans="1:26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</row>
    <row r="74" spans="1:26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</row>
    <row r="75" spans="1:26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</row>
    <row r="76" spans="1:26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</row>
    <row r="77" spans="1:26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</row>
    <row r="78" spans="1:26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</row>
    <row r="79" spans="1:26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</row>
    <row r="80" spans="1:26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</row>
    <row r="81" spans="1:26">
      <c r="A81" s="401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</row>
    <row r="82" spans="1:26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</row>
    <row r="83" spans="1:26">
      <c r="A83" s="401"/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</row>
    <row r="84" spans="1:26">
      <c r="A84" s="401"/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</row>
    <row r="85" spans="1:26">
      <c r="A85" s="401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</row>
    <row r="86" spans="1:26">
      <c r="A86" s="401"/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</row>
    <row r="87" spans="1:26">
      <c r="A87" s="401"/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</row>
    <row r="88" spans="1:26">
      <c r="A88" s="401"/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</row>
    <row r="89" spans="1:26">
      <c r="A89" s="401"/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</row>
    <row r="90" spans="1:26">
      <c r="A90" s="401"/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</row>
    <row r="91" spans="1:26">
      <c r="A91" s="401"/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</row>
    <row r="92" spans="1:26">
      <c r="A92" s="401"/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</row>
    <row r="93" spans="1:26">
      <c r="A93" s="401"/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</row>
    <row r="94" spans="1:26">
      <c r="A94" s="401"/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</row>
    <row r="95" spans="1:26">
      <c r="A95" s="401"/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</row>
    <row r="96" spans="1:26">
      <c r="A96" s="401"/>
      <c r="B96" s="401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</row>
    <row r="97" spans="1:26">
      <c r="A97" s="401"/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</row>
    <row r="98" spans="1:26">
      <c r="A98" s="401"/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</row>
    <row r="99" spans="1:26">
      <c r="A99" s="401"/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</row>
    <row r="100" spans="1:26">
      <c r="A100" s="401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</row>
    <row r="101" spans="1:26">
      <c r="A101" s="401"/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</row>
    <row r="102" spans="1:26">
      <c r="A102" s="401"/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</row>
    <row r="103" spans="1:26">
      <c r="A103" s="401"/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</row>
    <row r="104" spans="1:26">
      <c r="A104" s="401"/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</row>
    <row r="105" spans="1:26">
      <c r="A105" s="401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</row>
    <row r="106" spans="1:26">
      <c r="A106" s="401"/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</row>
    <row r="107" spans="1:26">
      <c r="A107" s="401"/>
      <c r="B107" s="401"/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</row>
    <row r="108" spans="1:26">
      <c r="A108" s="401"/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</row>
    <row r="109" spans="1:26">
      <c r="A109" s="401"/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</row>
    <row r="110" spans="1:26">
      <c r="A110" s="401"/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</row>
    <row r="111" spans="1:26">
      <c r="A111" s="401"/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</row>
    <row r="112" spans="1:26">
      <c r="A112" s="401"/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</row>
    <row r="113" spans="1:26">
      <c r="A113" s="401"/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</row>
    <row r="114" spans="1:26">
      <c r="A114" s="401"/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</row>
    <row r="115" spans="1:26">
      <c r="A115" s="401"/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</row>
    <row r="116" spans="1:26">
      <c r="A116" s="401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</row>
    <row r="117" spans="1:26">
      <c r="A117" s="401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</row>
    <row r="118" spans="1:26">
      <c r="A118" s="401"/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</row>
    <row r="119" spans="1:26">
      <c r="A119" s="401"/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</row>
    <row r="120" spans="1:26">
      <c r="A120" s="401"/>
      <c r="B120" s="401"/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</row>
    <row r="121" spans="1:26">
      <c r="A121" s="401"/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</row>
    <row r="122" spans="1:26">
      <c r="A122" s="401"/>
      <c r="B122" s="401"/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</row>
    <row r="123" spans="1:26">
      <c r="A123" s="401"/>
      <c r="B123" s="401"/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</row>
    <row r="124" spans="1:26">
      <c r="A124" s="401"/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</row>
    <row r="125" spans="1:26">
      <c r="A125" s="401"/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</row>
    <row r="126" spans="1:26">
      <c r="A126" s="401"/>
      <c r="B126" s="401"/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</row>
    <row r="127" spans="1:26">
      <c r="A127" s="401"/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</row>
    <row r="128" spans="1:26">
      <c r="A128" s="401"/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</row>
    <row r="129" spans="1:26">
      <c r="A129" s="401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</row>
    <row r="130" spans="1:26">
      <c r="A130" s="401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</row>
    <row r="131" spans="1:26">
      <c r="A131" s="401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</row>
    <row r="132" spans="1:26">
      <c r="A132" s="401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</row>
    <row r="133" spans="1:26">
      <c r="A133" s="401"/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</row>
    <row r="134" spans="1:26">
      <c r="A134" s="401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</row>
    <row r="135" spans="1:26">
      <c r="A135" s="401"/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</row>
    <row r="136" spans="1:26">
      <c r="A136" s="401"/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</row>
    <row r="137" spans="1:26">
      <c r="A137" s="401"/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</row>
    <row r="138" spans="1:26">
      <c r="A138" s="401"/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</row>
    <row r="139" spans="1:26">
      <c r="A139" s="401"/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</row>
    <row r="140" spans="1:26">
      <c r="A140" s="401"/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</row>
    <row r="141" spans="1:26">
      <c r="A141" s="401"/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</row>
    <row r="142" spans="1:26">
      <c r="A142" s="401"/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</row>
    <row r="143" spans="1:26">
      <c r="A143" s="401"/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</row>
    <row r="144" spans="1:26">
      <c r="A144" s="401"/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</row>
    <row r="145" spans="1:26">
      <c r="A145" s="401"/>
      <c r="B145" s="401"/>
      <c r="C145" s="401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</row>
    <row r="146" spans="1:26">
      <c r="A146" s="401"/>
      <c r="B146" s="401"/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</row>
    <row r="147" spans="1:26">
      <c r="A147" s="401"/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</row>
    <row r="148" spans="1:26">
      <c r="A148" s="401"/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</row>
    <row r="149" spans="1:26">
      <c r="A149" s="401"/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</row>
    <row r="150" spans="1:26">
      <c r="A150" s="401"/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</row>
    <row r="151" spans="1:26">
      <c r="A151" s="401"/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</row>
    <row r="152" spans="1:26">
      <c r="A152" s="401"/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</row>
    <row r="153" spans="1:26">
      <c r="A153" s="401"/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</row>
    <row r="154" spans="1:26">
      <c r="A154" s="401"/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</row>
    <row r="155" spans="1:26">
      <c r="A155" s="401"/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</row>
    <row r="156" spans="1:26">
      <c r="A156" s="401"/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</row>
    <row r="157" spans="1:26">
      <c r="A157" s="401"/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</row>
    <row r="158" spans="1:26">
      <c r="A158" s="401"/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</row>
    <row r="159" spans="1:26">
      <c r="A159" s="401"/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</row>
    <row r="160" spans="1:26">
      <c r="A160" s="401"/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</row>
    <row r="161" spans="1:26">
      <c r="A161" s="401"/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</row>
    <row r="162" spans="1:26">
      <c r="A162" s="401"/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</row>
    <row r="163" spans="1:26">
      <c r="A163" s="401"/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</row>
    <row r="164" spans="1:26">
      <c r="A164" s="401"/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  <c r="L164" s="401"/>
      <c r="M164" s="401"/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</row>
    <row r="165" spans="1:26">
      <c r="A165" s="401"/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401"/>
      <c r="O165" s="401"/>
      <c r="P165" s="401"/>
      <c r="Q165" s="401"/>
      <c r="R165" s="401"/>
      <c r="S165" s="401"/>
      <c r="T165" s="401"/>
      <c r="U165" s="401"/>
      <c r="V165" s="401"/>
      <c r="W165" s="401"/>
      <c r="X165" s="401"/>
      <c r="Y165" s="401"/>
      <c r="Z165" s="401"/>
    </row>
    <row r="166" spans="1:26">
      <c r="A166" s="401"/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401"/>
      <c r="N166" s="401"/>
      <c r="O166" s="40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</row>
    <row r="167" spans="1:26">
      <c r="A167" s="401"/>
      <c r="B167" s="401"/>
      <c r="C167" s="401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  <c r="O167" s="401"/>
      <c r="P167" s="401"/>
      <c r="Q167" s="401"/>
      <c r="R167" s="401"/>
      <c r="S167" s="401"/>
      <c r="T167" s="401"/>
      <c r="U167" s="401"/>
      <c r="V167" s="401"/>
      <c r="W167" s="401"/>
      <c r="X167" s="401"/>
      <c r="Y167" s="401"/>
      <c r="Z167" s="401"/>
    </row>
    <row r="168" spans="1:26">
      <c r="A168" s="401"/>
      <c r="B168" s="401"/>
      <c r="C168" s="401"/>
      <c r="D168" s="401"/>
      <c r="E168" s="401"/>
      <c r="F168" s="401"/>
      <c r="G168" s="401"/>
      <c r="H168" s="401"/>
      <c r="I168" s="401"/>
      <c r="J168" s="401"/>
      <c r="K168" s="401"/>
      <c r="L168" s="401"/>
      <c r="M168" s="401"/>
      <c r="N168" s="401"/>
      <c r="O168" s="401"/>
      <c r="P168" s="401"/>
      <c r="Q168" s="401"/>
      <c r="R168" s="401"/>
      <c r="S168" s="401"/>
      <c r="T168" s="401"/>
      <c r="U168" s="401"/>
      <c r="V168" s="401"/>
      <c r="W168" s="401"/>
      <c r="X168" s="401"/>
      <c r="Y168" s="401"/>
      <c r="Z168" s="401"/>
    </row>
    <row r="169" spans="1:26">
      <c r="A169" s="401"/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  <c r="L169" s="401"/>
      <c r="M169" s="401"/>
      <c r="N169" s="401"/>
      <c r="O169" s="401"/>
      <c r="P169" s="401"/>
      <c r="Q169" s="401"/>
      <c r="R169" s="401"/>
      <c r="S169" s="401"/>
      <c r="T169" s="401"/>
      <c r="U169" s="401"/>
      <c r="V169" s="401"/>
      <c r="W169" s="401"/>
      <c r="X169" s="401"/>
      <c r="Y169" s="401"/>
      <c r="Z169" s="401"/>
    </row>
    <row r="170" spans="1:26">
      <c r="A170" s="401"/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  <c r="L170" s="401"/>
      <c r="M170" s="401"/>
      <c r="N170" s="401"/>
      <c r="O170" s="401"/>
      <c r="P170" s="401"/>
      <c r="Q170" s="401"/>
      <c r="R170" s="401"/>
      <c r="S170" s="401"/>
      <c r="T170" s="401"/>
      <c r="U170" s="401"/>
      <c r="V170" s="401"/>
      <c r="W170" s="401"/>
      <c r="X170" s="401"/>
      <c r="Y170" s="401"/>
      <c r="Z170" s="401"/>
    </row>
    <row r="171" spans="1:26">
      <c r="A171" s="401"/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  <c r="L171" s="401"/>
      <c r="M171" s="401"/>
      <c r="N171" s="401"/>
      <c r="O171" s="401"/>
      <c r="P171" s="401"/>
      <c r="Q171" s="401"/>
      <c r="R171" s="401"/>
      <c r="S171" s="401"/>
      <c r="T171" s="401"/>
      <c r="U171" s="401"/>
      <c r="V171" s="401"/>
      <c r="W171" s="401"/>
      <c r="X171" s="401"/>
      <c r="Y171" s="401"/>
      <c r="Z171" s="401"/>
    </row>
    <row r="172" spans="1:26">
      <c r="A172" s="401"/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401"/>
      <c r="O172" s="401"/>
      <c r="P172" s="401"/>
      <c r="Q172" s="401"/>
      <c r="R172" s="401"/>
      <c r="S172" s="401"/>
      <c r="T172" s="401"/>
      <c r="U172" s="401"/>
      <c r="V172" s="401"/>
      <c r="W172" s="401"/>
      <c r="X172" s="401"/>
      <c r="Y172" s="401"/>
      <c r="Z172" s="401"/>
    </row>
    <row r="173" spans="1:26">
      <c r="A173" s="401"/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401"/>
      <c r="O173" s="401"/>
      <c r="P173" s="401"/>
      <c r="Q173" s="401"/>
      <c r="R173" s="401"/>
      <c r="S173" s="401"/>
      <c r="T173" s="401"/>
      <c r="U173" s="401"/>
      <c r="V173" s="401"/>
      <c r="W173" s="401"/>
      <c r="X173" s="401"/>
      <c r="Y173" s="401"/>
      <c r="Z173" s="401"/>
    </row>
    <row r="174" spans="1:26">
      <c r="A174" s="401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401"/>
      <c r="O174" s="401"/>
      <c r="P174" s="401"/>
      <c r="Q174" s="401"/>
      <c r="R174" s="401"/>
      <c r="S174" s="401"/>
      <c r="T174" s="401"/>
      <c r="U174" s="401"/>
      <c r="V174" s="401"/>
      <c r="W174" s="401"/>
      <c r="X174" s="401"/>
      <c r="Y174" s="401"/>
      <c r="Z174" s="401"/>
    </row>
    <row r="175" spans="1:26">
      <c r="A175" s="401"/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  <c r="L175" s="401"/>
      <c r="M175" s="401"/>
      <c r="N175" s="401"/>
      <c r="O175" s="401"/>
      <c r="P175" s="401"/>
      <c r="Q175" s="401"/>
      <c r="R175" s="401"/>
      <c r="S175" s="401"/>
      <c r="T175" s="401"/>
      <c r="U175" s="401"/>
      <c r="V175" s="401"/>
      <c r="W175" s="401"/>
      <c r="X175" s="401"/>
      <c r="Y175" s="401"/>
      <c r="Z175" s="401"/>
    </row>
    <row r="176" spans="1:26">
      <c r="A176" s="401"/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</row>
    <row r="177" spans="1:26">
      <c r="A177" s="401"/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</row>
    <row r="178" spans="1:26">
      <c r="A178" s="401"/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  <c r="L178" s="401"/>
      <c r="M178" s="401"/>
      <c r="N178" s="401"/>
      <c r="O178" s="401"/>
      <c r="P178" s="401"/>
      <c r="Q178" s="401"/>
      <c r="R178" s="401"/>
      <c r="S178" s="401"/>
      <c r="T178" s="401"/>
      <c r="U178" s="401"/>
      <c r="V178" s="401"/>
      <c r="W178" s="401"/>
      <c r="X178" s="401"/>
      <c r="Y178" s="401"/>
      <c r="Z178" s="401"/>
    </row>
    <row r="179" spans="1:26">
      <c r="A179" s="401"/>
      <c r="B179" s="401"/>
      <c r="C179" s="401"/>
      <c r="D179" s="401"/>
      <c r="E179" s="401"/>
      <c r="F179" s="401"/>
      <c r="G179" s="401"/>
      <c r="H179" s="401"/>
      <c r="I179" s="401"/>
      <c r="J179" s="401"/>
      <c r="K179" s="401"/>
      <c r="L179" s="401"/>
      <c r="M179" s="401"/>
      <c r="N179" s="401"/>
      <c r="O179" s="401"/>
      <c r="P179" s="401"/>
      <c r="Q179" s="401"/>
      <c r="R179" s="401"/>
      <c r="S179" s="401"/>
      <c r="T179" s="401"/>
      <c r="U179" s="401"/>
      <c r="V179" s="401"/>
      <c r="W179" s="401"/>
      <c r="X179" s="401"/>
      <c r="Y179" s="401"/>
      <c r="Z179" s="401"/>
    </row>
    <row r="180" spans="1:26">
      <c r="A180" s="401"/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  <c r="L180" s="401"/>
      <c r="M180" s="401"/>
      <c r="N180" s="401"/>
      <c r="O180" s="401"/>
      <c r="P180" s="401"/>
      <c r="Q180" s="401"/>
      <c r="R180" s="401"/>
      <c r="S180" s="401"/>
      <c r="T180" s="401"/>
      <c r="U180" s="401"/>
      <c r="V180" s="401"/>
      <c r="W180" s="401"/>
      <c r="X180" s="401"/>
      <c r="Y180" s="401"/>
      <c r="Z180" s="401"/>
    </row>
    <row r="181" spans="1:26">
      <c r="A181" s="401"/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  <c r="L181" s="401"/>
      <c r="M181" s="401"/>
      <c r="N181" s="401"/>
      <c r="O181" s="401"/>
      <c r="P181" s="401"/>
      <c r="Q181" s="401"/>
      <c r="R181" s="401"/>
      <c r="S181" s="401"/>
      <c r="T181" s="401"/>
      <c r="U181" s="401"/>
      <c r="V181" s="401"/>
      <c r="W181" s="401"/>
      <c r="X181" s="401"/>
      <c r="Y181" s="401"/>
      <c r="Z181" s="401"/>
    </row>
    <row r="182" spans="1:26">
      <c r="A182" s="401"/>
      <c r="B182" s="401"/>
      <c r="C182" s="401"/>
      <c r="D182" s="401"/>
      <c r="E182" s="401"/>
      <c r="F182" s="401"/>
      <c r="G182" s="401"/>
      <c r="H182" s="401"/>
      <c r="I182" s="401"/>
      <c r="J182" s="401"/>
      <c r="K182" s="401"/>
      <c r="L182" s="401"/>
      <c r="M182" s="401"/>
      <c r="N182" s="401"/>
      <c r="O182" s="401"/>
      <c r="P182" s="401"/>
      <c r="Q182" s="401"/>
      <c r="R182" s="401"/>
      <c r="S182" s="401"/>
      <c r="T182" s="401"/>
      <c r="U182" s="401"/>
      <c r="V182" s="401"/>
      <c r="W182" s="401"/>
      <c r="X182" s="401"/>
      <c r="Y182" s="401"/>
      <c r="Z182" s="401"/>
    </row>
    <row r="183" spans="1:26">
      <c r="A183" s="401"/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1"/>
      <c r="U183" s="401"/>
      <c r="V183" s="401"/>
      <c r="W183" s="401"/>
      <c r="X183" s="401"/>
      <c r="Y183" s="401"/>
      <c r="Z183" s="401"/>
    </row>
    <row r="184" spans="1:26">
      <c r="A184" s="401"/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  <c r="L184" s="401"/>
      <c r="M184" s="401"/>
      <c r="N184" s="401"/>
      <c r="O184" s="401"/>
      <c r="P184" s="401"/>
      <c r="Q184" s="401"/>
      <c r="R184" s="401"/>
      <c r="S184" s="401"/>
      <c r="T184" s="401"/>
      <c r="U184" s="401"/>
      <c r="V184" s="401"/>
      <c r="W184" s="401"/>
      <c r="X184" s="401"/>
      <c r="Y184" s="401"/>
      <c r="Z184" s="401"/>
    </row>
    <row r="185" spans="1:26">
      <c r="A185" s="401"/>
      <c r="B185" s="401"/>
      <c r="C185" s="401"/>
      <c r="D185" s="401"/>
      <c r="E185" s="401"/>
      <c r="F185" s="401"/>
      <c r="G185" s="401"/>
      <c r="H185" s="401"/>
      <c r="I185" s="401"/>
      <c r="J185" s="401"/>
      <c r="K185" s="401"/>
      <c r="L185" s="401"/>
      <c r="M185" s="401"/>
      <c r="N185" s="401"/>
      <c r="O185" s="401"/>
      <c r="P185" s="401"/>
      <c r="Q185" s="401"/>
      <c r="R185" s="401"/>
      <c r="S185" s="401"/>
      <c r="T185" s="401"/>
      <c r="U185" s="401"/>
      <c r="V185" s="401"/>
      <c r="W185" s="401"/>
      <c r="X185" s="401"/>
      <c r="Y185" s="401"/>
      <c r="Z185" s="401"/>
    </row>
    <row r="186" spans="1:26">
      <c r="A186" s="401"/>
      <c r="B186" s="401"/>
      <c r="C186" s="401"/>
      <c r="D186" s="401"/>
      <c r="E186" s="401"/>
      <c r="F186" s="401"/>
      <c r="G186" s="401"/>
      <c r="H186" s="401"/>
      <c r="I186" s="401"/>
      <c r="J186" s="401"/>
      <c r="K186" s="401"/>
      <c r="L186" s="401"/>
      <c r="M186" s="401"/>
      <c r="N186" s="401"/>
      <c r="O186" s="401"/>
      <c r="P186" s="401"/>
      <c r="Q186" s="401"/>
      <c r="R186" s="401"/>
      <c r="S186" s="401"/>
      <c r="T186" s="401"/>
      <c r="U186" s="401"/>
      <c r="V186" s="401"/>
      <c r="W186" s="401"/>
      <c r="X186" s="401"/>
      <c r="Y186" s="401"/>
      <c r="Z186" s="401"/>
    </row>
    <row r="187" spans="1:26">
      <c r="A187" s="401"/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  <c r="L187" s="401"/>
      <c r="M187" s="401"/>
      <c r="N187" s="401"/>
      <c r="O187" s="401"/>
      <c r="P187" s="401"/>
      <c r="Q187" s="401"/>
      <c r="R187" s="401"/>
      <c r="S187" s="401"/>
      <c r="T187" s="401"/>
      <c r="U187" s="401"/>
      <c r="V187" s="401"/>
      <c r="W187" s="401"/>
      <c r="X187" s="401"/>
      <c r="Y187" s="401"/>
      <c r="Z187" s="401"/>
    </row>
    <row r="188" spans="1:26">
      <c r="A188" s="401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401"/>
      <c r="O188" s="401"/>
      <c r="P188" s="401"/>
      <c r="Q188" s="401"/>
      <c r="R188" s="401"/>
      <c r="S188" s="401"/>
      <c r="T188" s="401"/>
      <c r="U188" s="401"/>
      <c r="V188" s="401"/>
      <c r="W188" s="401"/>
      <c r="X188" s="401"/>
      <c r="Y188" s="401"/>
      <c r="Z188" s="401"/>
    </row>
    <row r="189" spans="1:26">
      <c r="A189" s="401"/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01"/>
      <c r="N189" s="401"/>
      <c r="O189" s="401"/>
      <c r="P189" s="401"/>
      <c r="Q189" s="401"/>
      <c r="R189" s="401"/>
      <c r="S189" s="401"/>
      <c r="T189" s="401"/>
      <c r="U189" s="401"/>
      <c r="V189" s="401"/>
      <c r="W189" s="401"/>
      <c r="X189" s="401"/>
      <c r="Y189" s="401"/>
      <c r="Z189" s="401"/>
    </row>
    <row r="190" spans="1:26">
      <c r="A190" s="401"/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  <c r="L190" s="401"/>
      <c r="M190" s="401"/>
      <c r="N190" s="401"/>
      <c r="O190" s="401"/>
      <c r="P190" s="401"/>
      <c r="Q190" s="401"/>
      <c r="R190" s="401"/>
      <c r="S190" s="401"/>
      <c r="T190" s="401"/>
      <c r="U190" s="401"/>
      <c r="V190" s="401"/>
      <c r="W190" s="401"/>
      <c r="X190" s="401"/>
      <c r="Y190" s="401"/>
      <c r="Z190" s="401"/>
    </row>
  </sheetData>
  <sheetProtection formatCells="0" formatColumns="0" formatRows="0" insertColumns="0" insertRows="0" deleteColumns="0" deleteRows="0"/>
  <mergeCells count="2">
    <mergeCell ref="B2:D2"/>
    <mergeCell ref="F46:G46"/>
  </mergeCells>
  <conditionalFormatting sqref="D33">
    <cfRule type="cellIs" dxfId="0" priority="1" operator="lessThan">
      <formula>$D$32</formula>
    </cfRule>
  </conditionalFormatting>
  <hyperlinks>
    <hyperlink ref="E3" r:id="rId1"/>
    <hyperlink ref="B36" r:id="rId2"/>
    <hyperlink ref="B46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zoomScale="150" zoomScaleNormal="150" zoomScalePageLayoutView="150" workbookViewId="0">
      <selection activeCell="F17" sqref="F17"/>
    </sheetView>
  </sheetViews>
  <sheetFormatPr baseColWidth="10" defaultRowHeight="15" x14ac:dyDescent="0"/>
  <cols>
    <col min="1" max="5" width="10.83203125" style="1"/>
    <col min="6" max="6" width="13.1640625" style="1" bestFit="1" customWidth="1"/>
    <col min="7" max="16384" width="10.83203125" style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Dados</vt:lpstr>
      <vt:lpstr>Fluxo</vt:lpstr>
      <vt:lpstr>Aux</vt:lpstr>
      <vt:lpstr>Sheet1</vt:lpstr>
      <vt:lpstr>Sheet2</vt:lpstr>
      <vt:lpstr>Cálculo de Áreas</vt:lpstr>
      <vt:lpstr>Auxiliar</vt:lpstr>
    </vt:vector>
  </TitlesOfParts>
  <Company>CASOI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Leite</dc:creator>
  <cp:lastModifiedBy>Hamilton Leite</cp:lastModifiedBy>
  <cp:lastPrinted>2016-02-13T18:36:42Z</cp:lastPrinted>
  <dcterms:created xsi:type="dcterms:W3CDTF">2014-02-28T17:28:11Z</dcterms:created>
  <dcterms:modified xsi:type="dcterms:W3CDTF">2018-01-09T19:31:25Z</dcterms:modified>
</cp:coreProperties>
</file>